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</sheets>
  <calcPr calcId="124519" fullCalcOnLoad="1"/>
</workbook>
</file>

<file path=xl/sharedStrings.xml><?xml version="1.0" encoding="utf-8"?>
<sst xmlns="http://schemas.openxmlformats.org/spreadsheetml/2006/main" count="138" uniqueCount="50">
  <si>
    <t>Fine Structure Energy Levels for  Ne IX</t>
  </si>
  <si>
    <t>S2</t>
  </si>
  <si>
    <t>S46</t>
  </si>
  <si>
    <t>S32</t>
  </si>
  <si>
    <t>S35</t>
  </si>
  <si>
    <t>S47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</si>
  <si>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</si>
  <si>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</si>
  <si>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</si>
  <si>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</si>
  <si>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</si>
  <si>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</si>
  <si>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</si>
  <si>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</si>
  <si>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</si>
  <si>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</si>
  <si>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1s2</t>
  </si>
  <si>
    <t>1S</t>
  </si>
  <si>
    <t>1s.2s</t>
  </si>
  <si>
    <t>3S</t>
  </si>
  <si>
    <t>1s.2p</t>
  </si>
  <si>
    <t>3P*</t>
  </si>
  <si>
    <t>1P*</t>
  </si>
  <si>
    <t>1s.3s</t>
  </si>
  <si>
    <t>1s.3p</t>
  </si>
  <si>
    <t>1s.3d</t>
  </si>
  <si>
    <t>3D</t>
  </si>
  <si>
    <t>1D</t>
  </si>
  <si>
    <t>1s.4s</t>
  </si>
  <si>
    <t>1s.4p</t>
  </si>
  <si>
    <t>1s.4d</t>
  </si>
  <si>
    <t>1s.4f</t>
  </si>
  <si>
    <t>3F*</t>
  </si>
  <si>
    <t>1F*</t>
  </si>
  <si>
    <t>1s.5s</t>
  </si>
  <si>
    <t>1s.5p</t>
  </si>
  <si>
    <t>1s.5d</t>
  </si>
  <si>
    <t>1s.5f</t>
  </si>
  <si>
    <t>1s.5g</t>
  </si>
  <si>
    <t>3G</t>
  </si>
  <si>
    <t>1G</t>
  </si>
  <si>
    <t>A-values for  fine-structure transitions in Ne IX</t>
  </si>
  <si>
    <t>S27</t>
  </si>
  <si>
    <t>k</t>
  </si>
  <si>
    <t>WLVac (A)</t>
  </si>
  <si>
    <t>A2E1 (s-1)</t>
  </si>
  <si>
    <t>AE1 (s-1)</t>
  </si>
  <si>
    <t>AE2 (s-1)</t>
  </si>
  <si>
    <t>AM1 (s-1)</t>
  </si>
  <si>
    <t>AM2 (s-1)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</si>
</sst>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2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15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8.7109375" customWidth="1"/>
    <col min="11" max="11" width="14.7109375" customWidth="1"/>
    <col min="12" max="12" width="8.7109375" customWidth="1"/>
    <col min="13" max="13" width="14.7109375" customWidth="1"/>
    <col min="14" max="14" width="14.7109375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</row>
    <row r="3" spans="1:14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15</v>
      </c>
      <c r="L3" s="2" t="s">
        <v>15</v>
      </c>
      <c r="M3" s="2" t="s">
        <v>15</v>
      </c>
      <c r="N3" s="2" t="s">
        <v>15</v>
      </c>
    </row>
    <row r="4" spans="1:14">
      <c r="A4" s="3">
        <v>10</v>
      </c>
      <c r="B4" s="3">
        <v>2</v>
      </c>
      <c r="C4" s="3">
        <v>1</v>
      </c>
      <c r="D4" s="3" t="s">
        <v>16</v>
      </c>
      <c r="E4" s="3" t="s">
        <v>17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HYPERLINK("http://141.218.60.56/~jnz1568/getInfo.php?workbook=10_02.xlsx&amp;sheet=E0&amp;row=4&amp;col=10&amp;number=0&amp;sourceID=2","0")</f>
        <v>0</v>
      </c>
      <c r="K4" s="4" t="str">
        <f>HYPERLINK("http://141.218.60.56/~jnz1568/getInfo.php?workbook=10_02.xlsx&amp;sheet=E0&amp;row=4&amp;col=11&amp;number=0&amp;sourceID=46","0")</f>
        <v>0</v>
      </c>
      <c r="L4" s="4" t="str">
        <f>HYPERLINK("http://141.218.60.56/~jnz1568/getInfo.php?workbook=10_02.xlsx&amp;sheet=E0&amp;row=4&amp;col=12&amp;number=0&amp;sourceID=32","0")</f>
        <v>0</v>
      </c>
      <c r="M4" s="4" t="str">
        <f>HYPERLINK("http://141.218.60.56/~jnz1568/getInfo.php?workbook=10_02.xlsx&amp;sheet=E0&amp;row=4&amp;col=13&amp;number=0&amp;sourceID=35","0")</f>
        <v>0</v>
      </c>
      <c r="N4" s="4" t="str">
        <f>HYPERLINK("http://141.218.60.56/~jnz1568/getInfo.php?workbook=10_02.xlsx&amp;sheet=E0&amp;row=4&amp;col=14&amp;number=0&amp;sourceID=47","0")</f>
        <v>0</v>
      </c>
    </row>
    <row r="5" spans="1:14">
      <c r="A5" s="3">
        <v>10</v>
      </c>
      <c r="B5" s="3">
        <v>2</v>
      </c>
      <c r="C5" s="3">
        <f>C4+1</f>
        <v>0</v>
      </c>
      <c r="D5" s="3" t="s">
        <v>18</v>
      </c>
      <c r="E5" s="3" t="s">
        <v>19</v>
      </c>
      <c r="F5" s="3">
        <v>3</v>
      </c>
      <c r="G5" s="3">
        <v>0</v>
      </c>
      <c r="H5" s="3">
        <v>0</v>
      </c>
      <c r="I5" s="3">
        <v>1</v>
      </c>
      <c r="J5" s="4" t="str">
        <f>HYPERLINK("http://141.218.60.56/~jnz1568/getInfo.php?workbook=10_02.xlsx&amp;sheet=E0&amp;row=5&amp;col=10&amp;number=7299940&amp;sourceID=2","7299940")</f>
        <v>7299940</v>
      </c>
      <c r="K5" s="4" t="str">
        <f>HYPERLINK("http://141.218.60.56/~jnz1568/getInfo.php?workbook=10_02.xlsx&amp;sheet=E0&amp;row=5&amp;col=11&amp;number=7299424.46177&amp;sourceID=46","7299424.46177")</f>
        <v>7299424.46177</v>
      </c>
      <c r="L5" s="4" t="str">
        <f>HYPERLINK("http://141.218.60.56/~jnz1568/getInfo.php?workbook=10_02.xlsx&amp;sheet=E0&amp;row=5&amp;col=12&amp;number=7300474&amp;sourceID=32","7300474")</f>
        <v>7300474</v>
      </c>
      <c r="M5" s="4" t="str">
        <f>HYPERLINK("http://141.218.60.56/~jnz1568/getInfo.php?workbook=10_02.xlsx&amp;sheet=E0&amp;row=5&amp;col=13&amp;number=7302294.09258&amp;sourceID=35","7302294.09258")</f>
        <v>7302294.09258</v>
      </c>
      <c r="N5" s="4" t="str">
        <f>HYPERLINK("http://141.218.60.56/~jnz1568/getInfo.php?workbook=10_02.xlsx&amp;sheet=E0&amp;row=5&amp;col=14&amp;number=7297265.92877&amp;sourceID=47","7297265.92877")</f>
        <v>7297265.92877</v>
      </c>
    </row>
    <row r="6" spans="1:14">
      <c r="A6" s="3">
        <v>10</v>
      </c>
      <c r="B6" s="3">
        <v>2</v>
      </c>
      <c r="C6" s="3">
        <f/>
        <v>0</v>
      </c>
      <c r="D6" s="3" t="s">
        <v>20</v>
      </c>
      <c r="E6" s="3" t="s">
        <v>21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HYPERLINK("http://141.218.60.56/~jnz1568/getInfo.php?workbook=10_02.xlsx&amp;sheet=E0&amp;row=6&amp;col=10&amp;number=7378200&amp;sourceID=2","7378200")</f>
        <v>7378200</v>
      </c>
      <c r="K6" s="4" t="str">
        <f>HYPERLINK("http://141.218.60.56/~jnz1568/getInfo.php?workbook=10_02.xlsx&amp;sheet=E0&amp;row=6&amp;col=11&amp;number=7378053.44321&amp;sourceID=46","7378053.44321")</f>
        <v>7378053.44321</v>
      </c>
      <c r="L6" s="4" t="str">
        <f>HYPERLINK("http://141.218.60.56/~jnz1568/getInfo.php?workbook=10_02.xlsx&amp;sheet=E0&amp;row=6&amp;col=12&amp;number=7378928&amp;sourceID=32","7378928")</f>
        <v>7378928</v>
      </c>
      <c r="M6" s="4" t="str">
        <f>HYPERLINK("http://141.218.60.56/~jnz1568/getInfo.php?workbook=10_02.xlsx&amp;sheet=E0&amp;row=6&amp;col=13&amp;number=7380701.40464&amp;sourceID=35","7380701.40464")</f>
        <v>7380701.40464</v>
      </c>
      <c r="N6" s="4" t="str">
        <f>HYPERLINK("http://141.218.60.56/~jnz1568/getInfo.php?workbook=10_02.xlsx&amp;sheet=E0&amp;row=6&amp;col=14&amp;number=7373374.24407&amp;sourceID=47","7373374.24407")</f>
        <v>7373374.24407</v>
      </c>
    </row>
    <row r="7" spans="1:14">
      <c r="A7" s="3">
        <v>10</v>
      </c>
      <c r="B7" s="3">
        <v>2</v>
      </c>
      <c r="C7" s="3">
        <f/>
        <v>0</v>
      </c>
      <c r="D7" s="3" t="s">
        <v>20</v>
      </c>
      <c r="E7" s="3" t="s">
        <v>21</v>
      </c>
      <c r="F7" s="3">
        <v>3</v>
      </c>
      <c r="G7" s="3">
        <v>1</v>
      </c>
      <c r="H7" s="3">
        <v>1</v>
      </c>
      <c r="I7" s="3">
        <v>1</v>
      </c>
      <c r="J7" s="4" t="str">
        <f>HYPERLINK("http://141.218.60.56/~jnz1568/getInfo.php?workbook=10_02.xlsx&amp;sheet=E0&amp;row=7&amp;col=10&amp;number=7378500&amp;sourceID=2","7378500")</f>
        <v>7378500</v>
      </c>
      <c r="K7" s="4" t="str">
        <f>HYPERLINK("http://141.218.60.56/~jnz1568/getInfo.php?workbook=10_02.xlsx&amp;sheet=E0&amp;row=7&amp;col=11&amp;number=7378426.55008&amp;sourceID=46","7378426.55008")</f>
        <v>7378426.55008</v>
      </c>
      <c r="L7" s="4" t="str">
        <f>HYPERLINK("http://141.218.60.56/~jnz1568/getInfo.php?workbook=10_02.xlsx&amp;sheet=E0&amp;row=7&amp;col=12&amp;number=7379227&amp;sourceID=32","7379227")</f>
        <v>7379227</v>
      </c>
      <c r="M7" s="4" t="str">
        <f>HYPERLINK("http://141.218.60.56/~jnz1568/getInfo.php?workbook=10_02.xlsx&amp;sheet=E0&amp;row=7&amp;col=13&amp;number=7381645.14555&amp;sourceID=35","7381645.14555")</f>
        <v>7381645.14555</v>
      </c>
      <c r="N7" s="4" t="str">
        <f>HYPERLINK("http://141.218.60.56/~jnz1568/getInfo.php?workbook=10_02.xlsx&amp;sheet=E0&amp;row=7&amp;col=14&amp;number=7374274.09006&amp;sourceID=47","7374274.09006")</f>
        <v>7374274.09006</v>
      </c>
    </row>
    <row r="8" spans="1:14">
      <c r="A8" s="3">
        <v>10</v>
      </c>
      <c r="B8" s="3">
        <v>2</v>
      </c>
      <c r="C8" s="3">
        <f/>
        <v>0</v>
      </c>
      <c r="D8" s="3" t="s">
        <v>20</v>
      </c>
      <c r="E8" s="3" t="s">
        <v>21</v>
      </c>
      <c r="F8" s="3">
        <v>3</v>
      </c>
      <c r="G8" s="3">
        <v>1</v>
      </c>
      <c r="H8" s="3">
        <v>1</v>
      </c>
      <c r="I8" s="3">
        <v>2</v>
      </c>
      <c r="J8" s="4" t="str">
        <f>HYPERLINK("http://141.218.60.56/~jnz1568/getInfo.php?workbook=10_02.xlsx&amp;sheet=E0&amp;row=8&amp;col=10&amp;number=7380050&amp;sourceID=2","7380050")</f>
        <v>7380050</v>
      </c>
      <c r="K8" s="4" t="str">
        <f>HYPERLINK("http://141.218.60.56/~jnz1568/getInfo.php?workbook=10_02.xlsx&amp;sheet=E0&amp;row=8&amp;col=11&amp;number=7380107.72576&amp;sourceID=46","7380107.72576")</f>
        <v>7380107.72576</v>
      </c>
      <c r="L8" s="4" t="str">
        <f>HYPERLINK("http://141.218.60.56/~jnz1568/getInfo.php?workbook=10_02.xlsx&amp;sheet=E0&amp;row=8&amp;col=12&amp;number=7380781&amp;sourceID=32","7380781")</f>
        <v>7380781</v>
      </c>
      <c r="M8" s="4" t="str">
        <f>HYPERLINK("http://141.218.60.56/~jnz1568/getInfo.php?workbook=10_02.xlsx&amp;sheet=E0&amp;row=8&amp;col=13&amp;number=7383609.4435&amp;sourceID=35","7383609.4435")</f>
        <v>7383609.4435</v>
      </c>
      <c r="N8" s="4" t="str">
        <f>HYPERLINK("http://141.218.60.56/~jnz1568/getInfo.php?workbook=10_02.xlsx&amp;sheet=E0&amp;row=8&amp;col=14&amp;number=7376158.27977&amp;sourceID=47","7376158.27977")</f>
        <v>7376158.27977</v>
      </c>
    </row>
    <row r="9" spans="1:14">
      <c r="A9" s="3">
        <v>10</v>
      </c>
      <c r="B9" s="3">
        <v>2</v>
      </c>
      <c r="C9" s="3">
        <f/>
        <v>0</v>
      </c>
      <c r="D9" s="3" t="s">
        <v>18</v>
      </c>
      <c r="E9" s="3" t="s">
        <v>17</v>
      </c>
      <c r="F9" s="3">
        <v>1</v>
      </c>
      <c r="G9" s="3">
        <v>0</v>
      </c>
      <c r="H9" s="3">
        <v>0</v>
      </c>
      <c r="I9" s="3">
        <v>0</v>
      </c>
      <c r="J9" s="4" t="str">
        <f>HYPERLINK("http://141.218.60.56/~jnz1568/getInfo.php?workbook=10_02.xlsx&amp;sheet=E0&amp;row=9&amp;col=10&amp;number=7382680&amp;sourceID=2","7382680")</f>
        <v>7382680</v>
      </c>
      <c r="K9" s="4" t="str">
        <f>HYPERLINK("http://141.218.60.56/~jnz1568/getInfo.php?workbook=10_02.xlsx&amp;sheet=E0&amp;row=9&amp;col=11&amp;number=7387986.86502&amp;sourceID=46","7387986.86502")</f>
        <v>7387986.86502</v>
      </c>
      <c r="L9" s="4" t="str">
        <f>HYPERLINK("http://141.218.60.56/~jnz1568/getInfo.php?workbook=10_02.xlsx&amp;sheet=E0&amp;row=9&amp;col=12&amp;number=7383311&amp;sourceID=32","7383311")</f>
        <v>7383311</v>
      </c>
      <c r="M9" s="4" t="str">
        <f>HYPERLINK("http://141.218.60.56/~jnz1568/getInfo.php?workbook=10_02.xlsx&amp;sheet=E0&amp;row=9&amp;col=13&amp;number=7392048.24308&amp;sourceID=35","7392048.24308")</f>
        <v>7392048.24308</v>
      </c>
      <c r="N9" s="4" t="str">
        <f>HYPERLINK("http://141.218.60.56/~jnz1568/getInfo.php?workbook=10_02.xlsx&amp;sheet=E0&amp;row=9&amp;col=14&amp;number=7378520.92417&amp;sourceID=47","7378520.92417")</f>
        <v>7378520.92417</v>
      </c>
    </row>
    <row r="10" spans="1:14">
      <c r="A10" s="3">
        <v>10</v>
      </c>
      <c r="B10" s="3">
        <v>2</v>
      </c>
      <c r="C10" s="3">
        <f/>
        <v>0</v>
      </c>
      <c r="D10" s="3" t="s">
        <v>20</v>
      </c>
      <c r="E10" s="3" t="s">
        <v>22</v>
      </c>
      <c r="F10" s="3">
        <v>1</v>
      </c>
      <c r="G10" s="3">
        <v>1</v>
      </c>
      <c r="H10" s="3">
        <v>1</v>
      </c>
      <c r="I10" s="3">
        <v>1</v>
      </c>
      <c r="J10" s="4" t="str">
        <f>HYPERLINK("http://141.218.60.56/~jnz1568/getInfo.php?workbook=10_02.xlsx&amp;sheet=E0&amp;row=10&amp;col=10&amp;number=7436560&amp;sourceID=2","7436560")</f>
        <v>7436560</v>
      </c>
      <c r="K10" s="4" t="str">
        <f>HYPERLINK("http://141.218.60.56/~jnz1568/getInfo.php?workbook=10_02.xlsx&amp;sheet=E0&amp;row=10&amp;col=11&amp;number=7442272.81772&amp;sourceID=46","7442272.81772")</f>
        <v>7442272.81772</v>
      </c>
      <c r="L10" s="4" t="str">
        <f>HYPERLINK("http://141.218.60.56/~jnz1568/getInfo.php?workbook=10_02.xlsx&amp;sheet=E0&amp;row=10&amp;col=12&amp;number=7437292&amp;sourceID=32","7437292")</f>
        <v>7437292</v>
      </c>
      <c r="M10" s="4" t="str">
        <f>HYPERLINK("http://141.218.60.56/~jnz1568/getInfo.php?workbook=10_02.xlsx&amp;sheet=E0&amp;row=10&amp;col=13&amp;number=7446137.76598&amp;sourceID=35","7446137.76598")</f>
        <v>7446137.76598</v>
      </c>
      <c r="N10" s="4" t="str">
        <f>HYPERLINK("http://141.218.60.56/~jnz1568/getInfo.php?workbook=10_02.xlsx&amp;sheet=E0&amp;row=10&amp;col=14&amp;number=7434420.01541&amp;sourceID=47","7434420.01541")</f>
        <v>7434420.01541</v>
      </c>
    </row>
    <row r="11" spans="1:14">
      <c r="A11" s="3">
        <v>10</v>
      </c>
      <c r="B11" s="3">
        <v>2</v>
      </c>
      <c r="C11" s="3">
        <f/>
        <v>0</v>
      </c>
      <c r="D11" s="3" t="s">
        <v>23</v>
      </c>
      <c r="E11" s="3" t="s">
        <v>19</v>
      </c>
      <c r="F11" s="3">
        <v>3</v>
      </c>
      <c r="G11" s="3">
        <v>0</v>
      </c>
      <c r="H11" s="3">
        <v>0</v>
      </c>
      <c r="I11" s="3">
        <v>1</v>
      </c>
      <c r="J11" s="4" t="str">
        <f>HYPERLINK("http://141.218.60.56/~jnz1568/getInfo.php?workbook=10_02.xlsx&amp;sheet=E0&amp;row=11&amp;col=10&amp;number=8623000&amp;sourceID=2","8623000")</f>
        <v>8623000</v>
      </c>
      <c r="K11" s="4" t="str">
        <f>HYPERLINK("http://141.218.60.56/~jnz1568/getInfo.php?workbook=10_02.xlsx&amp;sheet=E0&amp;row=11&amp;col=11&amp;number=8624714.34169&amp;sourceID=46","8624714.34169")</f>
        <v>8624714.34169</v>
      </c>
      <c r="L11" s="4" t="str">
        <f>HYPERLINK("http://141.218.60.56/~jnz1568/getInfo.php?workbook=10_02.xlsx&amp;sheet=E0&amp;row=11&amp;col=12&amp;number=8623671&amp;sourceID=32","8623671")</f>
        <v>8623671</v>
      </c>
      <c r="M11" s="4" t="str">
        <f>HYPERLINK("http://141.218.60.56/~jnz1568/getInfo.php?workbook=10_02.xlsx&amp;sheet=E0&amp;row=11&amp;col=13&amp;number=8628074.4983&amp;sourceID=35","8628074.4983")</f>
        <v>8628074.4983</v>
      </c>
      <c r="N11" s="4" t="str">
        <f>HYPERLINK("http://141.218.60.56/~jnz1568/getInfo.php?workbook=10_02.xlsx&amp;sheet=E0&amp;row=11&amp;col=14&amp;number=8619065.06468&amp;sourceID=47","8619065.06468")</f>
        <v>8619065.06468</v>
      </c>
    </row>
    <row r="12" spans="1:14">
      <c r="A12" s="3">
        <v>10</v>
      </c>
      <c r="B12" s="3">
        <v>2</v>
      </c>
      <c r="C12" s="3">
        <f/>
        <v>0</v>
      </c>
      <c r="D12" s="3" t="s">
        <v>24</v>
      </c>
      <c r="E12" s="3" t="s">
        <v>21</v>
      </c>
      <c r="F12" s="3">
        <v>3</v>
      </c>
      <c r="G12" s="3">
        <v>1</v>
      </c>
      <c r="H12" s="3">
        <v>1</v>
      </c>
      <c r="I12" s="3">
        <v>0</v>
      </c>
      <c r="J12" s="4" t="str">
        <f>HYPERLINK("http://141.218.60.56/~jnz1568/getInfo.php?workbook=10_02.xlsx&amp;sheet=E0&amp;row=12&amp;col=10&amp;number=8644400&amp;sourceID=2","8644400")</f>
        <v>8644400</v>
      </c>
      <c r="K12" s="4" t="str">
        <f>HYPERLINK("http://141.218.60.56/~jnz1568/getInfo.php?workbook=10_02.xlsx&amp;sheet=E0&amp;row=12&amp;col=11&amp;number=8645962.77813&amp;sourceID=46","8645962.77813")</f>
        <v>8645962.77813</v>
      </c>
      <c r="L12" s="4" t="str">
        <f>HYPERLINK("http://141.218.60.56/~jnz1568/getInfo.php?workbook=10_02.xlsx&amp;sheet=E0&amp;row=12&amp;col=12&amp;number=8645124&amp;sourceID=32","8645124")</f>
        <v>8645124</v>
      </c>
      <c r="M12" s="4" t="str">
        <f>HYPERLINK("http://141.218.60.56/~jnz1568/getInfo.php?workbook=10_02.xlsx&amp;sheet=E0&amp;row=12&amp;col=13&amp;number=8649352.56381&amp;sourceID=35","8649352.56381")</f>
        <v>8649352.56381</v>
      </c>
      <c r="N12" s="4" t="str">
        <f>HYPERLINK("http://141.218.60.56/~jnz1568/getInfo.php?workbook=10_02.xlsx&amp;sheet=E0&amp;row=12&amp;col=14&amp;number=8641454.7692&amp;sourceID=47","8641454.7692")</f>
        <v>8641454.7692</v>
      </c>
    </row>
    <row r="13" spans="1:14">
      <c r="A13" s="3">
        <v>10</v>
      </c>
      <c r="B13" s="3">
        <v>2</v>
      </c>
      <c r="C13" s="3">
        <f/>
        <v>0</v>
      </c>
      <c r="D13" s="3" t="s">
        <v>24</v>
      </c>
      <c r="E13" s="3" t="s">
        <v>21</v>
      </c>
      <c r="F13" s="3">
        <v>3</v>
      </c>
      <c r="G13" s="3">
        <v>1</v>
      </c>
      <c r="H13" s="3">
        <v>1</v>
      </c>
      <c r="I13" s="3">
        <v>1</v>
      </c>
      <c r="J13" s="4" t="str">
        <f>HYPERLINK("http://141.218.60.56/~jnz1568/getInfo.php?workbook=10_02.xlsx&amp;sheet=E0&amp;row=13&amp;col=10&amp;number=8644500&amp;sourceID=2","8644500")</f>
        <v>8644500</v>
      </c>
      <c r="K13" s="4" t="str">
        <f>HYPERLINK("http://141.218.60.56/~jnz1568/getInfo.php?workbook=10_02.xlsx&amp;sheet=E0&amp;row=13&amp;col=11&amp;number=8646092.26816&amp;sourceID=46","8646092.26816")</f>
        <v>8646092.26816</v>
      </c>
      <c r="L13" s="4" t="str">
        <f>HYPERLINK("http://141.218.60.56/~jnz1568/getInfo.php?workbook=10_02.xlsx&amp;sheet=E0&amp;row=13&amp;col=12&amp;number=8645223&amp;sourceID=32","8645223")</f>
        <v>8645223</v>
      </c>
      <c r="M13" s="4" t="str">
        <f>HYPERLINK("http://141.218.60.56/~jnz1568/getInfo.php?workbook=10_02.xlsx&amp;sheet=E0&amp;row=13&amp;col=13&amp;number=8649615.93337&amp;sourceID=35","8649615.93337")</f>
        <v>8649615.93337</v>
      </c>
      <c r="N13" s="4" t="str">
        <f>HYPERLINK("http://141.218.60.56/~jnz1568/getInfo.php?workbook=10_02.xlsx&amp;sheet=E0&amp;row=13&amp;col=14&amp;number=8641745.57309&amp;sourceID=47","8641745.57309")</f>
        <v>8641745.57309</v>
      </c>
    </row>
    <row r="14" spans="1:14">
      <c r="A14" s="3">
        <v>10</v>
      </c>
      <c r="B14" s="3">
        <v>2</v>
      </c>
      <c r="C14" s="3">
        <f/>
        <v>0</v>
      </c>
      <c r="D14" s="3" t="s">
        <v>23</v>
      </c>
      <c r="E14" s="3" t="s">
        <v>17</v>
      </c>
      <c r="F14" s="3">
        <v>1</v>
      </c>
      <c r="G14" s="3">
        <v>0</v>
      </c>
      <c r="H14" s="3">
        <v>0</v>
      </c>
      <c r="I14" s="3">
        <v>0</v>
      </c>
      <c r="J14" s="4" t="str">
        <f>HYPERLINK("http://141.218.60.56/~jnz1568/getInfo.php?workbook=10_02.xlsx&amp;sheet=E0&amp;row=14&amp;col=10&amp;number=8644880&amp;sourceID=2","8644880")</f>
        <v>8644880</v>
      </c>
      <c r="K14" s="4" t="str">
        <f>HYPERLINK("http://141.218.60.56/~jnz1568/getInfo.php?workbook=10_02.xlsx&amp;sheet=E0&amp;row=14&amp;col=11&amp;number=8646602.54668&amp;sourceID=46","8646602.54668")</f>
        <v>8646602.54668</v>
      </c>
      <c r="L14" s="4" t="str">
        <f>HYPERLINK("http://141.218.60.56/~jnz1568/getInfo.php?workbook=10_02.xlsx&amp;sheet=E0&amp;row=14&amp;col=12&amp;number=8645572&amp;sourceID=32","8645572")</f>
        <v>8645572</v>
      </c>
      <c r="M14" s="4" t="str">
        <f>HYPERLINK("http://141.218.60.56/~jnz1568/getInfo.php?workbook=10_02.xlsx&amp;sheet=E0&amp;row=14&amp;col=13&amp;number=8651689.96864&amp;sourceID=35","8651689.96864")</f>
        <v>8651689.96864</v>
      </c>
      <c r="N14" s="4" t="str">
        <f>HYPERLINK("http://141.218.60.56/~jnz1568/getInfo.php?workbook=10_02.xlsx&amp;sheet=E0&amp;row=14&amp;col=14&amp;number=8641340.64239&amp;sourceID=47","8641340.64239")</f>
        <v>8641340.64239</v>
      </c>
    </row>
    <row r="15" spans="1:14">
      <c r="A15" s="3">
        <v>10</v>
      </c>
      <c r="B15" s="3">
        <v>2</v>
      </c>
      <c r="C15" s="3">
        <f/>
        <v>0</v>
      </c>
      <c r="D15" s="3" t="s">
        <v>24</v>
      </c>
      <c r="E15" s="3" t="s">
        <v>21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HYPERLINK("http://141.218.60.56/~jnz1568/getInfo.php?workbook=10_02.xlsx&amp;sheet=E0&amp;row=15&amp;col=10&amp;number=8644960&amp;sourceID=2","8644960")</f>
        <v>8644960</v>
      </c>
      <c r="K15" s="4" t="str">
        <f>HYPERLINK("http://141.218.60.56/~jnz1568/getInfo.php?workbook=10_02.xlsx&amp;sheet=E0&amp;row=15&amp;col=11&amp;number=8647749.30163&amp;sourceID=46","8647749.30163")</f>
        <v>8647749.30163</v>
      </c>
      <c r="L15" s="4" t="str">
        <f>HYPERLINK("http://141.218.60.56/~jnz1568/getInfo.php?workbook=10_02.xlsx&amp;sheet=E0&amp;row=15&amp;col=12&amp;number=8645682&amp;sourceID=32","8645682")</f>
        <v>8645682</v>
      </c>
      <c r="M15" s="4" t="str">
        <f>HYPERLINK("http://141.218.60.56/~jnz1568/getInfo.php?workbook=10_02.xlsx&amp;sheet=E0&amp;row=15&amp;col=13&amp;number=8650186.56741&amp;sourceID=35","8650186.56741")</f>
        <v>8650186.56741</v>
      </c>
      <c r="N15" s="4" t="str">
        <f>HYPERLINK("http://141.218.60.56/~jnz1568/getInfo.php?workbook=10_02.xlsx&amp;sheet=E0&amp;row=15&amp;col=14&amp;number=8642359.00468&amp;sourceID=47","8642359.00468")</f>
        <v>8642359.00468</v>
      </c>
    </row>
    <row r="16" spans="1:14">
      <c r="A16" s="3">
        <v>10</v>
      </c>
      <c r="B16" s="3">
        <v>2</v>
      </c>
      <c r="C16" s="3">
        <f/>
        <v>0</v>
      </c>
      <c r="D16" s="3" t="s">
        <v>25</v>
      </c>
      <c r="E16" s="3" t="s">
        <v>26</v>
      </c>
      <c r="F16" s="3">
        <v>3</v>
      </c>
      <c r="G16" s="3">
        <v>2</v>
      </c>
      <c r="H16" s="3">
        <v>0</v>
      </c>
      <c r="I16" s="3">
        <v>1</v>
      </c>
      <c r="J16" s="4" t="str">
        <f>HYPERLINK("http://141.218.60.56/~jnz1568/getInfo.php?workbook=10_02.xlsx&amp;sheet=E0&amp;row=16&amp;col=10&amp;number=8657000&amp;sourceID=2","8657000")</f>
        <v>8657000</v>
      </c>
      <c r="K16" s="4" t="str">
        <f>HYPERLINK("http://141.218.60.56/~jnz1568/getInfo.php?workbook=10_02.xlsx&amp;sheet=E0&amp;row=16&amp;col=11&amp;number=8658549.64824&amp;sourceID=46","8658549.64824")</f>
        <v>8658549.64824</v>
      </c>
      <c r="L16" s="4" t="str">
        <f>HYPERLINK("http://141.218.60.56/~jnz1568/getInfo.php?workbook=10_02.xlsx&amp;sheet=E0&amp;row=16&amp;col=12&amp;number=8657204&amp;sourceID=32","8657204")</f>
        <v>8657204</v>
      </c>
      <c r="M16" s="4" t="str">
        <f>HYPERLINK("http://141.218.60.56/~jnz1568/getInfo.php?workbook=10_02.xlsx&amp;sheet=E0&amp;row=16&amp;col=13&amp;number=8662093.06616&amp;sourceID=35","8662093.06616")</f>
        <v>8662093.06616</v>
      </c>
      <c r="N16" s="4" t="str">
        <f>HYPERLINK("http://141.218.60.56/~jnz1568/getInfo.php?workbook=10_02.xlsx&amp;sheet=E0&amp;row=16&amp;col=14&amp;number=8652311.08184&amp;sourceID=47","8652311.08184")</f>
        <v>8652311.08184</v>
      </c>
    </row>
    <row r="17" spans="1:14">
      <c r="A17" s="3">
        <v>10</v>
      </c>
      <c r="B17" s="3">
        <v>2</v>
      </c>
      <c r="C17" s="3">
        <f/>
        <v>0</v>
      </c>
      <c r="D17" s="3" t="s">
        <v>25</v>
      </c>
      <c r="E17" s="3" t="s">
        <v>26</v>
      </c>
      <c r="F17" s="3">
        <v>3</v>
      </c>
      <c r="G17" s="3">
        <v>2</v>
      </c>
      <c r="H17" s="3">
        <v>0</v>
      </c>
      <c r="I17" s="3">
        <v>2</v>
      </c>
      <c r="J17" s="4" t="str">
        <f>HYPERLINK("http://141.218.60.56/~jnz1568/getInfo.php?workbook=10_02.xlsx&amp;sheet=E0&amp;row=17&amp;col=10&amp;number=8657120&amp;sourceID=2","8657120")</f>
        <v>8657120</v>
      </c>
      <c r="K17" s="4" t="str">
        <f>HYPERLINK("http://141.218.60.56/~jnz1568/getInfo.php?workbook=10_02.xlsx&amp;sheet=E0&amp;row=17&amp;col=11&amp;number=8658578.17994&amp;sourceID=46","8658578.17994")</f>
        <v>8658578.17994</v>
      </c>
      <c r="L17" s="4" t="str">
        <f>HYPERLINK("http://141.218.60.56/~jnz1568/getInfo.php?workbook=10_02.xlsx&amp;sheet=E0&amp;row=17&amp;col=12&amp;number=8657227&amp;sourceID=32","8657227")</f>
        <v>8657227</v>
      </c>
      <c r="M17" s="4" t="str">
        <f>HYPERLINK("http://141.218.60.56/~jnz1568/getInfo.php?workbook=10_02.xlsx&amp;sheet=E0&amp;row=17&amp;col=13&amp;number=8662180.85602&amp;sourceID=35","8662180.85602")</f>
        <v>8662180.85602</v>
      </c>
      <c r="N17" s="4" t="str">
        <f>HYPERLINK("http://141.218.60.56/~jnz1568/getInfo.php?workbook=10_02.xlsx&amp;sheet=E0&amp;row=17&amp;col=14&amp;number=8652392.28746&amp;sourceID=47","8652392.28746")</f>
        <v>8652392.28746</v>
      </c>
    </row>
    <row r="18" spans="1:14">
      <c r="A18" s="3">
        <v>10</v>
      </c>
      <c r="B18" s="3">
        <v>2</v>
      </c>
      <c r="C18" s="3">
        <f/>
        <v>0</v>
      </c>
      <c r="D18" s="3" t="s">
        <v>25</v>
      </c>
      <c r="E18" s="3" t="s">
        <v>26</v>
      </c>
      <c r="F18" s="3">
        <v>3</v>
      </c>
      <c r="G18" s="3">
        <v>2</v>
      </c>
      <c r="H18" s="3">
        <v>0</v>
      </c>
      <c r="I18" s="3">
        <v>3</v>
      </c>
      <c r="J18" s="4" t="str">
        <f>HYPERLINK("http://141.218.60.56/~jnz1568/getInfo.php?workbook=10_02.xlsx&amp;sheet=E0&amp;row=18&amp;col=10&amp;number=8657190&amp;sourceID=2","8657190")</f>
        <v>8657190</v>
      </c>
      <c r="K18" s="4" t="str">
        <f>HYPERLINK("http://141.218.60.56/~jnz1568/getInfo.php?workbook=10_02.xlsx&amp;sheet=E0&amp;row=18&amp;col=11&amp;number=8658726.32532&amp;sourceID=46","8658726.32532")</f>
        <v>8658726.32532</v>
      </c>
      <c r="L18" s="4" t="str">
        <f>HYPERLINK("http://141.218.60.56/~jnz1568/getInfo.php?workbook=10_02.xlsx&amp;sheet=E0&amp;row=18&amp;col=12&amp;number=8657381&amp;sourceID=32","8657381")</f>
        <v>8657381</v>
      </c>
      <c r="M18" s="4" t="str">
        <f>HYPERLINK("http://141.218.60.56/~jnz1568/getInfo.php?workbook=10_02.xlsx&amp;sheet=E0&amp;row=18&amp;col=13&amp;number=8662356.43572&amp;sourceID=35","8662356.43572")</f>
        <v>8662356.43572</v>
      </c>
      <c r="N18" s="4" t="str">
        <f>HYPERLINK("http://141.218.60.56/~jnz1568/getInfo.php?workbook=10_02.xlsx&amp;sheet=E0&amp;row=18&amp;col=14&amp;number=8652574.4514&amp;sourceID=47","8652574.4514")</f>
        <v>8652574.4514</v>
      </c>
    </row>
    <row r="19" spans="1:14">
      <c r="A19" s="3">
        <v>10</v>
      </c>
      <c r="B19" s="3">
        <v>2</v>
      </c>
      <c r="C19" s="3">
        <f/>
        <v>0</v>
      </c>
      <c r="D19" s="3" t="s">
        <v>25</v>
      </c>
      <c r="E19" s="3" t="s">
        <v>27</v>
      </c>
      <c r="F19" s="3">
        <v>1</v>
      </c>
      <c r="G19" s="3">
        <v>2</v>
      </c>
      <c r="H19" s="3">
        <v>0</v>
      </c>
      <c r="I19" s="3">
        <v>2</v>
      </c>
      <c r="J19" s="4" t="str">
        <f>HYPERLINK("http://141.218.60.56/~jnz1568/getInfo.php?workbook=10_02.xlsx&amp;sheet=E0&amp;row=19&amp;col=10&amp;number=8662400&amp;sourceID=2","8662400")</f>
        <v>8662400</v>
      </c>
      <c r="K19" s="4" t="str">
        <f>HYPERLINK("http://141.218.60.56/~jnz1568/getInfo.php?workbook=10_02.xlsx&amp;sheet=E0&amp;row=19&amp;col=11&amp;number=8659449.49423&amp;sourceID=46","8659449.49423")</f>
        <v>8659449.49423</v>
      </c>
      <c r="L19" s="4" t="str">
        <f>HYPERLINK("http://141.218.60.56/~jnz1568/getInfo.php?workbook=10_02.xlsx&amp;sheet=E0&amp;row=19&amp;col=12&amp;number=8657922&amp;sourceID=32","8657922")</f>
        <v>8657922</v>
      </c>
      <c r="M19" s="4" t="str">
        <f>HYPERLINK("http://141.218.60.56/~jnz1568/getInfo.php?workbook=10_02.xlsx&amp;sheet=E0&amp;row=19&amp;col=13&amp;number=8663047.78081&amp;sourceID=35","8663047.78081")</f>
        <v>8663047.78081</v>
      </c>
      <c r="N19" s="4" t="str">
        <f>HYPERLINK("http://141.218.60.56/~jnz1568/getInfo.php?workbook=10_02.xlsx&amp;sheet=E0&amp;row=19&amp;col=14&amp;number=8653092.41153&amp;sourceID=47","8653092.41153")</f>
        <v>8653092.41153</v>
      </c>
    </row>
    <row r="20" spans="1:14">
      <c r="A20" s="3">
        <v>10</v>
      </c>
      <c r="B20" s="3">
        <v>2</v>
      </c>
      <c r="C20" s="3">
        <f/>
        <v>0</v>
      </c>
      <c r="D20" s="3" t="s">
        <v>24</v>
      </c>
      <c r="E20" s="3" t="s">
        <v>22</v>
      </c>
      <c r="F20" s="3">
        <v>1</v>
      </c>
      <c r="G20" s="3">
        <v>1</v>
      </c>
      <c r="H20" s="3">
        <v>1</v>
      </c>
      <c r="I20" s="3">
        <v>1</v>
      </c>
      <c r="J20" s="4" t="str">
        <f>HYPERLINK("http://141.218.60.56/~jnz1568/getInfo.php?workbook=10_02.xlsx&amp;sheet=E0&amp;row=20&amp;col=10&amp;number=8660530&amp;sourceID=2","8660530")</f>
        <v>8660530</v>
      </c>
      <c r="K20" s="4" t="str">
        <f>HYPERLINK("http://141.218.60.56/~jnz1568/getInfo.php?workbook=10_02.xlsx&amp;sheet=E0&amp;row=20&amp;col=11&amp;number=8663573.42255&amp;sourceID=46","8663573.42255")</f>
        <v>8663573.42255</v>
      </c>
      <c r="L20" s="4" t="str">
        <f>HYPERLINK("http://141.218.60.56/~jnz1568/getInfo.php?workbook=10_02.xlsx&amp;sheet=E0&amp;row=20&amp;col=12&amp;number=8661257&amp;sourceID=32","8661257")</f>
        <v>8661257</v>
      </c>
      <c r="M20" s="4" t="str">
        <f>HYPERLINK("http://141.218.60.56/~jnz1568/getInfo.php?workbook=10_02.xlsx&amp;sheet=E0&amp;row=20&amp;col=13&amp;number=8667294.61493&amp;sourceID=35","8667294.61493")</f>
        <v>8667294.61493</v>
      </c>
      <c r="N20" s="4" t="str">
        <f>HYPERLINK("http://141.218.60.56/~jnz1568/getInfo.php?workbook=10_02.xlsx&amp;sheet=E0&amp;row=20&amp;col=14&amp;number=8659780.90092&amp;sourceID=47","8659780.90092")</f>
        <v>8659780.90092</v>
      </c>
    </row>
    <row r="21" spans="1:14">
      <c r="A21" s="3">
        <v>10</v>
      </c>
      <c r="B21" s="3">
        <v>2</v>
      </c>
      <c r="C21" s="3">
        <f/>
        <v>0</v>
      </c>
      <c r="D21" s="3" t="s">
        <v>28</v>
      </c>
      <c r="E21" s="3" t="s">
        <v>19</v>
      </c>
      <c r="F21" s="3">
        <v>3</v>
      </c>
      <c r="G21" s="3">
        <v>0</v>
      </c>
      <c r="H21" s="3">
        <v>0</v>
      </c>
      <c r="I21" s="3">
        <v>1</v>
      </c>
      <c r="J21" s="4" t="str">
        <f>HYPERLINK("http://141.218.60.56/~jnz1568/getInfo.php?workbook=10_02.xlsx&amp;sheet=E0&amp;row=21&amp;col=10&amp;number=9075200&amp;sourceID=2","9075200")</f>
        <v>9075200</v>
      </c>
      <c r="K21" s="4" t="str">
        <f>HYPERLINK("http://141.218.60.56/~jnz1568/getInfo.php?workbook=10_02.xlsx&amp;sheet=E0&amp;row=21&amp;col=11&amp;number=9077195.31283&amp;sourceID=46","9077195.31283")</f>
        <v>9077195.31283</v>
      </c>
      <c r="L21" s="4" t="str">
        <f>HYPERLINK("http://141.218.60.56/~jnz1568/getInfo.php?workbook=10_02.xlsx&amp;sheet=E0&amp;row=21&amp;col=12&amp;number=9075921&amp;sourceID=32","9075921")</f>
        <v>9075921</v>
      </c>
      <c r="M21" s="4" t="str">
        <f>HYPERLINK("http://141.218.60.56/~jnz1568/getInfo.php?workbook=10_02.xlsx&amp;sheet=E0&amp;row=21&amp;col=13&amp;number=9080697.03058&amp;sourceID=35","9080697.03058")</f>
        <v>9080697.03058</v>
      </c>
      <c r="N21" s="4" t="str">
        <f>HYPERLINK("http://141.218.60.56/~jnz1568/getInfo.php?workbook=10_02.xlsx&amp;sheet=E0&amp;row=21&amp;col=14&amp;number=9073117.47418&amp;sourceID=47","9073117.47418")</f>
        <v>9073117.47418</v>
      </c>
    </row>
    <row r="22" spans="1:14">
      <c r="A22" s="3">
        <v>10</v>
      </c>
      <c r="B22" s="3">
        <v>2</v>
      </c>
      <c r="C22" s="3">
        <f/>
        <v>0</v>
      </c>
      <c r="D22" s="3" t="s">
        <v>29</v>
      </c>
      <c r="E22" s="3" t="s">
        <v>21</v>
      </c>
      <c r="F22" s="3">
        <v>3</v>
      </c>
      <c r="G22" s="3">
        <v>1</v>
      </c>
      <c r="H22" s="3">
        <v>1</v>
      </c>
      <c r="I22" s="3">
        <v>0</v>
      </c>
      <c r="J22" s="4" t="str">
        <f>HYPERLINK("http://141.218.60.56/~jnz1568/getInfo.php?workbook=10_02.xlsx&amp;sheet=E0&amp;row=22&amp;col=10&amp;number=9084000&amp;sourceID=2","9084000")</f>
        <v>9084000</v>
      </c>
      <c r="K22" s="4" t="str">
        <f>HYPERLINK("http://141.218.60.56/~jnz1568/getInfo.php?workbook=10_02.xlsx&amp;sheet=E0&amp;row=22&amp;col=11&amp;number=9085862.36603&amp;sourceID=46","9085862.36603")</f>
        <v>9085862.36603</v>
      </c>
      <c r="L22" s="4" t="str">
        <f>HYPERLINK("http://141.218.60.56/~jnz1568/getInfo.php?workbook=10_02.xlsx&amp;sheet=E0&amp;row=22&amp;col=12&amp;number=9084719&amp;sourceID=32","9084719")</f>
        <v>9084719</v>
      </c>
      <c r="M22" s="4" t="str">
        <f>HYPERLINK("http://141.218.60.56/~jnz1568/getInfo.php?workbook=10_02.xlsx&amp;sheet=E0&amp;row=22&amp;col=13&amp;number=9089399.19971&amp;sourceID=35","9089399.19971")</f>
        <v>9089399.19971</v>
      </c>
      <c r="N22" s="4" t="str">
        <f>HYPERLINK("http://141.218.60.56/~jnz1568/getInfo.php?workbook=10_02.xlsx&amp;sheet=E0&amp;row=22&amp;col=14&amp;number=9081676.98481&amp;sourceID=47","9081676.98481")</f>
        <v>9081676.98481</v>
      </c>
    </row>
    <row r="23" spans="1:14">
      <c r="A23" s="3">
        <v>10</v>
      </c>
      <c r="B23" s="3">
        <v>2</v>
      </c>
      <c r="C23" s="3">
        <f/>
        <v>0</v>
      </c>
      <c r="D23" s="3" t="s">
        <v>29</v>
      </c>
      <c r="E23" s="3" t="s">
        <v>21</v>
      </c>
      <c r="F23" s="3">
        <v>3</v>
      </c>
      <c r="G23" s="3">
        <v>1</v>
      </c>
      <c r="H23" s="3">
        <v>1</v>
      </c>
      <c r="I23" s="3">
        <v>1</v>
      </c>
      <c r="J23" s="4" t="str">
        <f>HYPERLINK("http://141.218.60.56/~jnz1568/getInfo.php?workbook=10_02.xlsx&amp;sheet=E0&amp;row=23&amp;col=10&amp;number=9084040&amp;sourceID=2","9084040")</f>
        <v>9084040</v>
      </c>
      <c r="K23" s="4" t="str">
        <f>HYPERLINK("http://141.218.60.56/~jnz1568/getInfo.php?workbook=10_02.xlsx&amp;sheet=E0&amp;row=23&amp;col=11&amp;number=9085920.5268&amp;sourceID=46","9085920.5268")</f>
        <v>9085920.5268</v>
      </c>
      <c r="L23" s="4" t="str">
        <f>HYPERLINK("http://141.218.60.56/~jnz1568/getInfo.php?workbook=10_02.xlsx&amp;sheet=E0&amp;row=23&amp;col=12&amp;number=9084763&amp;sourceID=32","9084763")</f>
        <v>9084763</v>
      </c>
      <c r="M23" s="4" t="str">
        <f>HYPERLINK("http://141.218.60.56/~jnz1568/getInfo.php?workbook=10_02.xlsx&amp;sheet=E0&amp;row=23&amp;col=13&amp;number=9089508.93703&amp;sourceID=35","9089508.93703")</f>
        <v>9089508.93703</v>
      </c>
      <c r="N23" s="4" t="str">
        <f>HYPERLINK("http://141.218.60.56/~jnz1568/getInfo.php?workbook=10_02.xlsx&amp;sheet=E0&amp;row=23&amp;col=14&amp;number=9081784.52738&amp;sourceID=47","9081784.52738")</f>
        <v>9081784.52738</v>
      </c>
    </row>
    <row r="24" spans="1:14">
      <c r="A24" s="3">
        <v>10</v>
      </c>
      <c r="B24" s="3">
        <v>2</v>
      </c>
      <c r="C24" s="3">
        <f/>
        <v>0</v>
      </c>
      <c r="D24" s="3" t="s">
        <v>28</v>
      </c>
      <c r="E24" s="3" t="s">
        <v>17</v>
      </c>
      <c r="F24" s="3">
        <v>1</v>
      </c>
      <c r="G24" s="3">
        <v>0</v>
      </c>
      <c r="H24" s="3">
        <v>0</v>
      </c>
      <c r="I24" s="3">
        <v>0</v>
      </c>
      <c r="J24" s="4" t="str">
        <f>HYPERLINK("http://141.218.60.56/~jnz1568/getInfo.php?workbook=10_02.xlsx&amp;sheet=E0&amp;row=24&amp;col=10&amp;number=9084060&amp;sourceID=2","9084060")</f>
        <v>9084060</v>
      </c>
      <c r="K24" s="4" t="str">
        <f>HYPERLINK("http://141.218.60.56/~jnz1568/getInfo.php?workbook=10_02.xlsx&amp;sheet=E0&amp;row=24&amp;col=11&amp;number=9086140.00143&amp;sourceID=46","9086140.00143")</f>
        <v>9086140.00143</v>
      </c>
      <c r="L24" s="4" t="str">
        <f>HYPERLINK("http://141.218.60.56/~jnz1568/getInfo.php?workbook=10_02.xlsx&amp;sheet=E0&amp;row=24&amp;col=12&amp;number=9084793&amp;sourceID=32","9084793")</f>
        <v>9084793</v>
      </c>
      <c r="M24" s="4" t="str">
        <f>HYPERLINK("http://141.218.60.56/~jnz1568/getInfo.php?workbook=10_02.xlsx&amp;sheet=E0&amp;row=24&amp;col=13&amp;number=9090397.80928&amp;sourceID=35","9090397.80928")</f>
        <v>9090397.80928</v>
      </c>
      <c r="N24" s="4" t="str">
        <f>HYPERLINK("http://141.218.60.56/~jnz1568/getInfo.php?workbook=10_02.xlsx&amp;sheet=E0&amp;row=24&amp;col=14&amp;number=9081999.61251&amp;sourceID=47","9081999.61251")</f>
        <v>9081999.61251</v>
      </c>
    </row>
    <row r="25" spans="1:14">
      <c r="A25" s="3">
        <v>10</v>
      </c>
      <c r="B25" s="3">
        <v>2</v>
      </c>
      <c r="C25" s="3">
        <f/>
        <v>0</v>
      </c>
      <c r="D25" s="3" t="s">
        <v>29</v>
      </c>
      <c r="E25" s="3" t="s">
        <v>21</v>
      </c>
      <c r="F25" s="3">
        <v>3</v>
      </c>
      <c r="G25" s="3">
        <v>1</v>
      </c>
      <c r="H25" s="3">
        <v>1</v>
      </c>
      <c r="I25" s="3">
        <v>2</v>
      </c>
      <c r="J25" s="4" t="str">
        <f>HYPERLINK("http://141.218.60.56/~jnz1568/getInfo.php?workbook=10_02.xlsx&amp;sheet=E0&amp;row=25&amp;col=10&amp;number=9084230&amp;sourceID=2","9084230")</f>
        <v>9084230</v>
      </c>
      <c r="K25" s="4" t="str">
        <f>HYPERLINK("http://141.218.60.56/~jnz1568/getInfo.php?workbook=10_02.xlsx&amp;sheet=E0&amp;row=25&amp;col=11&amp;number=9086492.25822&amp;sourceID=46","9086492.25822")</f>
        <v>9086492.25822</v>
      </c>
      <c r="L25" s="4" t="str">
        <f>HYPERLINK("http://141.218.60.56/~jnz1568/getInfo.php?workbook=10_02.xlsx&amp;sheet=E0&amp;row=25&amp;col=12&amp;number=9084958&amp;sourceID=32","9084958")</f>
        <v>9084958</v>
      </c>
      <c r="M25" s="4" t="str">
        <f>HYPERLINK("http://141.218.60.56/~jnz1568/getInfo.php?workbook=10_02.xlsx&amp;sheet=E0&amp;row=25&amp;col=13&amp;number=9089739.38539&amp;sourceID=35","9089739.38539")</f>
        <v>9089739.38539</v>
      </c>
      <c r="N25" s="4" t="str">
        <f>HYPERLINK("http://141.218.60.56/~jnz1568/getInfo.php?workbook=10_02.xlsx&amp;sheet=E0&amp;row=25&amp;col=14&amp;number=9082008.3915&amp;sourceID=47","9082008.3915")</f>
        <v>9082008.3915</v>
      </c>
    </row>
    <row r="26" spans="1:14">
      <c r="A26" s="3">
        <v>10</v>
      </c>
      <c r="B26" s="3">
        <v>2</v>
      </c>
      <c r="C26" s="3">
        <f/>
        <v>0</v>
      </c>
      <c r="D26" s="3" t="s">
        <v>30</v>
      </c>
      <c r="E26" s="3" t="s">
        <v>26</v>
      </c>
      <c r="F26" s="3">
        <v>3</v>
      </c>
      <c r="G26" s="3">
        <v>2</v>
      </c>
      <c r="H26" s="3">
        <v>0</v>
      </c>
      <c r="I26" s="3">
        <v>1</v>
      </c>
      <c r="J26" s="4" t="str">
        <f>HYPERLINK("http://141.218.60.56/~jnz1568/getInfo.php?workbook=10_02.xlsx&amp;sheet=E0&amp;row=26&amp;col=10&amp;number=9090300&amp;sourceID=2","9090300")</f>
        <v>9090300</v>
      </c>
      <c r="K26" s="4" t="str">
        <f>HYPERLINK("http://141.218.60.56/~jnz1568/getInfo.php?workbook=10_02.xlsx&amp;sheet=E0&amp;row=26&amp;col=11&amp;number=9091020.01986&amp;sourceID=46","9091020.01986")</f>
        <v>9091020.01986</v>
      </c>
      <c r="L26" s="4" t="str">
        <f>HYPERLINK("http://141.218.60.56/~jnz1568/getInfo.php?workbook=10_02.xlsx&amp;sheet=E0&amp;row=26&amp;col=12&amp;number=9089695&amp;sourceID=32","9089695")</f>
        <v>9089695</v>
      </c>
      <c r="M26" s="4" t="str">
        <f>HYPERLINK("http://141.218.60.56/~jnz1568/getInfo.php?workbook=10_02.xlsx&amp;sheet=E0&amp;row=26&amp;col=13&amp;number=9094600.74847&amp;sourceID=35","9094600.74847")</f>
        <v>9094600.74847</v>
      </c>
      <c r="N26" s="4" t="str">
        <f>HYPERLINK("http://141.218.60.56/~jnz1568/getInfo.php?workbook=10_02.xlsx&amp;sheet=E0&amp;row=26&amp;col=14&amp;number=9086623.943&amp;sourceID=47","9086623.943")</f>
        <v>9086623.943</v>
      </c>
    </row>
    <row r="27" spans="1:14">
      <c r="A27" s="3">
        <v>10</v>
      </c>
      <c r="B27" s="3">
        <v>2</v>
      </c>
      <c r="C27" s="3">
        <f/>
        <v>0</v>
      </c>
      <c r="D27" s="3" t="s">
        <v>30</v>
      </c>
      <c r="E27" s="3" t="s">
        <v>26</v>
      </c>
      <c r="F27" s="3">
        <v>3</v>
      </c>
      <c r="G27" s="3">
        <v>2</v>
      </c>
      <c r="H27" s="3">
        <v>0</v>
      </c>
      <c r="I27" s="3">
        <v>2</v>
      </c>
      <c r="J27" s="4" t="str">
        <f>HYPERLINK("http://141.218.60.56/~jnz1568/getInfo.php?workbook=10_02.xlsx&amp;sheet=E0&amp;row=27&amp;col=10&amp;number=9090340&amp;sourceID=2","9090340")</f>
        <v>9090340</v>
      </c>
      <c r="K27" s="4" t="str">
        <f>HYPERLINK("http://141.218.60.56/~jnz1568/getInfo.php?workbook=10_02.xlsx&amp;sheet=E0&amp;row=27&amp;col=11&amp;number=9091034.28571&amp;sourceID=46","9091034.28571")</f>
        <v>9091034.28571</v>
      </c>
      <c r="L27" s="4" t="str">
        <f>HYPERLINK("http://141.218.60.56/~jnz1568/getInfo.php?workbook=10_02.xlsx&amp;sheet=E0&amp;row=27&amp;col=12&amp;number=9089708&amp;sourceID=32","9089708")</f>
        <v>9089708</v>
      </c>
      <c r="M27" s="4" t="str">
        <f>HYPERLINK("http://141.218.60.56/~jnz1568/getInfo.php?workbook=10_02.xlsx&amp;sheet=E0&amp;row=27&amp;col=13&amp;number=9094633.66967&amp;sourceID=35","9094633.66967")</f>
        <v>9094633.66967</v>
      </c>
      <c r="N27" s="4" t="str">
        <f>HYPERLINK("http://141.218.60.56/~jnz1568/getInfo.php?workbook=10_02.xlsx&amp;sheet=E0&amp;row=27&amp;col=14&amp;number=9086661.25368&amp;sourceID=47","9086661.25368")</f>
        <v>9086661.25368</v>
      </c>
    </row>
    <row r="28" spans="1:14">
      <c r="A28" s="3">
        <v>10</v>
      </c>
      <c r="B28" s="3">
        <v>2</v>
      </c>
      <c r="C28" s="3">
        <f/>
        <v>0</v>
      </c>
      <c r="D28" s="3" t="s">
        <v>30</v>
      </c>
      <c r="E28" s="3" t="s">
        <v>26</v>
      </c>
      <c r="F28" s="3">
        <v>3</v>
      </c>
      <c r="G28" s="3">
        <v>2</v>
      </c>
      <c r="H28" s="3">
        <v>0</v>
      </c>
      <c r="I28" s="3">
        <v>3</v>
      </c>
      <c r="J28" s="4" t="str">
        <f>HYPERLINK("http://141.218.60.56/~jnz1568/getInfo.php?workbook=10_02.xlsx&amp;sheet=E0&amp;row=28&amp;col=10&amp;number=9090390&amp;sourceID=2","9090390")</f>
        <v>9090390</v>
      </c>
      <c r="K28" s="4" t="str">
        <f>HYPERLINK("http://141.218.60.56/~jnz1568/getInfo.php?workbook=10_02.xlsx&amp;sheet=E0&amp;row=28&amp;col=11&amp;number=9091094.64124&amp;sourceID=46","9091094.64124")</f>
        <v>9091094.64124</v>
      </c>
      <c r="L28" s="4" t="str">
        <f>HYPERLINK("http://141.218.60.56/~jnz1568/getInfo.php?workbook=10_02.xlsx&amp;sheet=E0&amp;row=28&amp;col=12&amp;number=9089770&amp;sourceID=32","9089770")</f>
        <v>9089770</v>
      </c>
      <c r="M28" s="4" t="str">
        <f>HYPERLINK("http://141.218.60.56/~jnz1568/getInfo.php?workbook=10_02.xlsx&amp;sheet=E0&amp;row=28&amp;col=13&amp;number=9094710.48579&amp;sourceID=35","9094710.48579")</f>
        <v>9094710.48579</v>
      </c>
      <c r="N28" s="4" t="str">
        <f>HYPERLINK("http://141.218.60.56/~jnz1568/getInfo.php?workbook=10_02.xlsx&amp;sheet=E0&amp;row=28&amp;col=14&amp;number=9086734.77769&amp;sourceID=47","9086734.77769")</f>
        <v>9086734.77769</v>
      </c>
    </row>
    <row r="29" spans="1:14">
      <c r="A29" s="3">
        <v>10</v>
      </c>
      <c r="B29" s="3">
        <v>2</v>
      </c>
      <c r="C29" s="3">
        <f/>
        <v>0</v>
      </c>
      <c r="D29" s="3" t="s">
        <v>31</v>
      </c>
      <c r="E29" s="3" t="s">
        <v>32</v>
      </c>
      <c r="F29" s="3">
        <v>3</v>
      </c>
      <c r="G29" s="3">
        <v>3</v>
      </c>
      <c r="H29" s="3">
        <v>1</v>
      </c>
      <c r="I29" s="3">
        <v>3</v>
      </c>
      <c r="J29" s="4" t="str">
        <f>HYPERLINK("http://141.218.60.56/~jnz1568/getInfo.php?workbook=10_02.xlsx&amp;sheet=E0&amp;row=29&amp;col=10&amp;number=9089800&amp;sourceID=2","9089800")</f>
        <v>9089800</v>
      </c>
      <c r="K29" s="4" t="str">
        <f>HYPERLINK("http://141.218.60.56/~jnz1568/getInfo.php?workbook=10_02.xlsx&amp;sheet=E0&amp;row=29&amp;col=11&amp;number=9091381.05563&amp;sourceID=46","9091381.05563")</f>
        <v>9091381.05563</v>
      </c>
      <c r="L29" s="4" t="str">
        <f>HYPERLINK("http://141.218.60.56/~jnz1568/getInfo.php?workbook=10_02.xlsx&amp;sheet=E0&amp;row=29&amp;col=12&amp;number=9090045&amp;sourceID=32","9090045")</f>
        <v>9090045</v>
      </c>
      <c r="M29" s="4" t="str">
        <f>HYPERLINK("http://141.218.60.56/~jnz1568/getInfo.php?workbook=10_02.xlsx&amp;sheet=E0&amp;row=29&amp;col=13&amp;number=9094984.82908&amp;sourceID=35","9094984.82908")</f>
        <v>9094984.82908</v>
      </c>
      <c r="N29" s="4" t="str">
        <f>HYPERLINK("http://141.218.60.56/~jnz1568/getInfo.php?workbook=10_02.xlsx&amp;sheet=E0&amp;row=29&amp;col=14&amp;number=9086991.563&amp;sourceID=47","9086991.563")</f>
        <v>9086991.563</v>
      </c>
    </row>
    <row r="30" spans="1:14">
      <c r="A30" s="3">
        <v>10</v>
      </c>
      <c r="B30" s="3">
        <v>2</v>
      </c>
      <c r="C30" s="3">
        <f/>
        <v>0</v>
      </c>
      <c r="D30" s="3" t="s">
        <v>31</v>
      </c>
      <c r="E30" s="3" t="s">
        <v>32</v>
      </c>
      <c r="F30" s="3">
        <v>3</v>
      </c>
      <c r="G30" s="3">
        <v>3</v>
      </c>
      <c r="H30" s="3">
        <v>1</v>
      </c>
      <c r="I30" s="3">
        <v>2</v>
      </c>
      <c r="J30" s="4" t="str">
        <f>HYPERLINK("http://141.218.60.56/~jnz1568/getInfo.php?workbook=10_02.xlsx&amp;sheet=E0&amp;row=30&amp;col=10&amp;number=9089800&amp;sourceID=2","9089800")</f>
        <v>9089800</v>
      </c>
      <c r="K30" s="4" t="str">
        <f>HYPERLINK("http://141.218.60.56/~jnz1568/getInfo.php?workbook=10_02.xlsx&amp;sheet=E0&amp;row=30&amp;col=11&amp;number=9091390.93199&amp;sourceID=46","9091390.93199")</f>
        <v>9091390.93199</v>
      </c>
      <c r="L30" s="4" t="str">
        <f>HYPERLINK("http://141.218.60.56/~jnz1568/getInfo.php?workbook=10_02.xlsx&amp;sheet=E0&amp;row=30&amp;col=12&amp;number=9090056&amp;sourceID=32","9090056")</f>
        <v>9090056</v>
      </c>
      <c r="M30" s="4" t="str">
        <f>HYPERLINK("http://141.218.60.56/~jnz1568/getInfo.php?workbook=10_02.xlsx&amp;sheet=E0&amp;row=30&amp;col=13&amp;number=9094984.82908&amp;sourceID=35","9094984.82908")</f>
        <v>9094984.82908</v>
      </c>
      <c r="N30" s="4" t="str">
        <f>HYPERLINK("http://141.218.60.56/~jnz1568/getInfo.php?workbook=10_02.xlsx&amp;sheet=E0&amp;row=30&amp;col=14&amp;number=9086990.46563&amp;sourceID=47","9086990.46563")</f>
        <v>9086990.46563</v>
      </c>
    </row>
    <row r="31" spans="1:14">
      <c r="A31" s="3">
        <v>10</v>
      </c>
      <c r="B31" s="3">
        <v>2</v>
      </c>
      <c r="C31" s="3">
        <f/>
        <v>0</v>
      </c>
      <c r="D31" s="3" t="s">
        <v>31</v>
      </c>
      <c r="E31" s="3" t="s">
        <v>32</v>
      </c>
      <c r="F31" s="3">
        <v>3</v>
      </c>
      <c r="G31" s="3">
        <v>3</v>
      </c>
      <c r="H31" s="3">
        <v>1</v>
      </c>
      <c r="I31" s="3">
        <v>4</v>
      </c>
      <c r="J31" s="4" t="str">
        <f>HYPERLINK("http://141.218.60.56/~jnz1568/getInfo.php?workbook=10_02.xlsx&amp;sheet=E0&amp;row=31&amp;col=10&amp;number=9089800&amp;sourceID=2","9089800")</f>
        <v>9089800</v>
      </c>
      <c r="K31" s="4" t="str">
        <f>HYPERLINK("http://141.218.60.56/~jnz1568/getInfo.php?workbook=10_02.xlsx&amp;sheet=E0&amp;row=31&amp;col=11&amp;number=9091429.34005&amp;sourceID=46","9091429.34005")</f>
        <v>9091429.34005</v>
      </c>
      <c r="L31" s="4" t="str">
        <f>HYPERLINK("http://141.218.60.56/~jnz1568/getInfo.php?workbook=10_02.xlsx&amp;sheet=E0&amp;row=31&amp;col=12&amp;number=&amp;sourceID=32","")</f>
        <v/>
      </c>
      <c r="M31" s="4" t="str">
        <f>HYPERLINK("http://141.218.60.56/~jnz1568/getInfo.php?workbook=10_02.xlsx&amp;sheet=E0&amp;row=31&amp;col=13&amp;number=9095039.69774&amp;sourceID=35","9095039.69774")</f>
        <v>9095039.69774</v>
      </c>
      <c r="N31" s="4" t="str">
        <f>HYPERLINK("http://141.218.60.56/~jnz1568/getInfo.php?workbook=10_02.xlsx&amp;sheet=E0&amp;row=31&amp;col=14&amp;number=9087045.33429&amp;sourceID=47","9087045.33429")</f>
        <v>9087045.33429</v>
      </c>
    </row>
    <row r="32" spans="1:14">
      <c r="A32" s="3">
        <v>10</v>
      </c>
      <c r="B32" s="3">
        <v>2</v>
      </c>
      <c r="C32" s="3">
        <f/>
        <v>0</v>
      </c>
      <c r="D32" s="3" t="s">
        <v>30</v>
      </c>
      <c r="E32" s="3" t="s">
        <v>27</v>
      </c>
      <c r="F32" s="3">
        <v>1</v>
      </c>
      <c r="G32" s="3">
        <v>2</v>
      </c>
      <c r="H32" s="3">
        <v>0</v>
      </c>
      <c r="I32" s="3">
        <v>2</v>
      </c>
      <c r="J32" s="4" t="str">
        <f>HYPERLINK("http://141.218.60.56/~jnz1568/getInfo.php?workbook=10_02.xlsx&amp;sheet=E0&amp;row=32&amp;col=10&amp;number=&amp;sourceID=2","")</f>
        <v/>
      </c>
      <c r="K32" s="4" t="str">
        <f>HYPERLINK("http://141.218.60.56/~jnz1568/getInfo.php?workbook=10_02.xlsx&amp;sheet=E0&amp;row=32&amp;col=11&amp;number=9091488.5982&amp;sourceID=46","9091488.5982")</f>
        <v>9091488.5982</v>
      </c>
      <c r="L32" s="4" t="str">
        <f>HYPERLINK("http://141.218.60.56/~jnz1568/getInfo.php?workbook=10_02.xlsx&amp;sheet=E0&amp;row=32&amp;col=12&amp;number=9090067&amp;sourceID=32","9090067")</f>
        <v>9090067</v>
      </c>
      <c r="M32" s="4" t="str">
        <f>HYPERLINK("http://141.218.60.56/~jnz1568/getInfo.php?workbook=10_02.xlsx&amp;sheet=E0&amp;row=32&amp;col=13&amp;number=9095094.56639&amp;sourceID=35","9095094.56639")</f>
        <v>9095094.56639</v>
      </c>
      <c r="N32" s="4" t="str">
        <f>HYPERLINK("http://141.218.60.56/~jnz1568/getInfo.php?workbook=10_02.xlsx&amp;sheet=E0&amp;row=32&amp;col=14&amp;number=9087063.98963&amp;sourceID=47","9087063.98963")</f>
        <v>9087063.98963</v>
      </c>
    </row>
    <row r="33" spans="1:14">
      <c r="A33" s="3">
        <v>10</v>
      </c>
      <c r="B33" s="3">
        <v>2</v>
      </c>
      <c r="C33" s="3">
        <f/>
        <v>0</v>
      </c>
      <c r="D33" s="3" t="s">
        <v>31</v>
      </c>
      <c r="E33" s="3" t="s">
        <v>33</v>
      </c>
      <c r="F33" s="3">
        <v>1</v>
      </c>
      <c r="G33" s="3">
        <v>3</v>
      </c>
      <c r="H33" s="3">
        <v>1</v>
      </c>
      <c r="I33" s="3">
        <v>3</v>
      </c>
      <c r="J33" s="4" t="str">
        <f>HYPERLINK("http://141.218.60.56/~jnz1568/getInfo.php?workbook=10_02.xlsx&amp;sheet=E0&amp;row=33&amp;col=10&amp;number=9094400&amp;sourceID=2","9094400")</f>
        <v>9094400</v>
      </c>
      <c r="K33" s="4" t="str">
        <f>HYPERLINK("http://141.218.60.56/~jnz1568/getInfo.php?workbook=10_02.xlsx&amp;sheet=E0&amp;row=33&amp;col=11&amp;number=9091442.50853&amp;sourceID=46","9091442.50853")</f>
        <v>9091442.50853</v>
      </c>
      <c r="L33" s="4" t="str">
        <f>HYPERLINK("http://141.218.60.56/~jnz1568/getInfo.php?workbook=10_02.xlsx&amp;sheet=E0&amp;row=33&amp;col=12&amp;number=9090106&amp;sourceID=32","9090106")</f>
        <v>9090106</v>
      </c>
      <c r="M33" s="4" t="str">
        <f>HYPERLINK("http://141.218.60.56/~jnz1568/getInfo.php?workbook=10_02.xlsx&amp;sheet=E0&amp;row=33&amp;col=13&amp;number=9095039.69774&amp;sourceID=35","9095039.69774")</f>
        <v>9095039.69774</v>
      </c>
      <c r="N33" s="4" t="str">
        <f>HYPERLINK("http://141.218.60.56/~jnz1568/getInfo.php?workbook=10_02.xlsx&amp;sheet=E0&amp;row=33&amp;col=14&amp;number=9087048.62641&amp;sourceID=47","9087048.62641")</f>
        <v>9087048.62641</v>
      </c>
    </row>
    <row r="34" spans="1:14">
      <c r="A34" s="3">
        <v>10</v>
      </c>
      <c r="B34" s="3">
        <v>2</v>
      </c>
      <c r="C34" s="3">
        <f/>
        <v>0</v>
      </c>
      <c r="D34" s="3" t="s">
        <v>29</v>
      </c>
      <c r="E34" s="3" t="s">
        <v>22</v>
      </c>
      <c r="F34" s="3">
        <v>1</v>
      </c>
      <c r="G34" s="3">
        <v>1</v>
      </c>
      <c r="H34" s="3">
        <v>1</v>
      </c>
      <c r="I34" s="3">
        <v>1</v>
      </c>
      <c r="J34" s="4" t="str">
        <f>HYPERLINK("http://141.218.60.56/~jnz1568/getInfo.php?workbook=10_02.xlsx&amp;sheet=E0&amp;row=34&amp;col=10&amp;number=9090630&amp;sourceID=2","9090630")</f>
        <v>9090630</v>
      </c>
      <c r="K34" s="4" t="str">
        <f>HYPERLINK("http://141.218.60.56/~jnz1568/getInfo.php?workbook=10_02.xlsx&amp;sheet=E0&amp;row=34&amp;col=11&amp;number=9093125.87895&amp;sourceID=46","9093125.87895")</f>
        <v>9093125.87895</v>
      </c>
      <c r="L34" s="4" t="str">
        <f>HYPERLINK("http://141.218.60.56/~jnz1568/getInfo.php?workbook=10_02.xlsx&amp;sheet=E0&amp;row=34&amp;col=12&amp;number=9091358&amp;sourceID=32","9091358")</f>
        <v>9091358</v>
      </c>
      <c r="M34" s="4" t="str">
        <f>HYPERLINK("http://141.218.60.56/~jnz1568/getInfo.php?workbook=10_02.xlsx&amp;sheet=E0&amp;row=34&amp;col=13&amp;number=9096850.36345&amp;sourceID=35","9096850.36345")</f>
        <v>9096850.36345</v>
      </c>
      <c r="N34" s="4" t="str">
        <f>HYPERLINK("http://141.218.60.56/~jnz1568/getInfo.php?workbook=10_02.xlsx&amp;sheet=E0&amp;row=34&amp;col=14&amp;number=9088626.64901&amp;sourceID=47","9088626.64901")</f>
        <v>9088626.64901</v>
      </c>
    </row>
    <row r="35" spans="1:14">
      <c r="A35" s="3">
        <v>10</v>
      </c>
      <c r="B35" s="3">
        <v>2</v>
      </c>
      <c r="C35" s="3">
        <f/>
        <v>0</v>
      </c>
      <c r="D35" s="3" t="s">
        <v>34</v>
      </c>
      <c r="E35" s="3" t="s">
        <v>19</v>
      </c>
      <c r="F35" s="3">
        <v>3</v>
      </c>
      <c r="G35" s="3">
        <v>0</v>
      </c>
      <c r="H35" s="3">
        <v>0</v>
      </c>
      <c r="I35" s="3">
        <v>1</v>
      </c>
      <c r="J35" s="4" t="str">
        <f>HYPERLINK("http://141.218.60.56/~jnz1568/getInfo.php?workbook=10_02.xlsx&amp;sheet=E0&amp;row=35&amp;col=10&amp;number=9282200&amp;sourceID=2","9282200")</f>
        <v>9282200</v>
      </c>
      <c r="K35" s="4" t="str">
        <f>HYPERLINK("http://141.218.60.56/~jnz1568/getInfo.php?workbook=10_02.xlsx&amp;sheet=E0&amp;row=35&amp;col=11&amp;number=9284247.68007&amp;sourceID=46","9284247.68007")</f>
        <v>9284247.68007</v>
      </c>
      <c r="L35" s="4" t="str">
        <f>HYPERLINK("http://141.218.60.56/~jnz1568/getInfo.php?workbook=10_02.xlsx&amp;sheet=E0&amp;row=35&amp;col=12&amp;number=9282927&amp;sourceID=32","9282927")</f>
        <v>9282927</v>
      </c>
      <c r="M35" s="4" t="str">
        <f>HYPERLINK("http://141.218.60.56/~jnz1568/getInfo.php?workbook=10_02.xlsx&amp;sheet=E0&amp;row=35&amp;col=13&amp;number=&amp;sourceID=35","")</f>
        <v/>
      </c>
      <c r="N35" s="4" t="str">
        <f>HYPERLINK("http://141.218.60.56/~jnz1568/getInfo.php?workbook=10_02.xlsx&amp;sheet=E0&amp;row=35&amp;col=14&amp;number=&amp;sourceID=47","")</f>
        <v/>
      </c>
    </row>
    <row r="36" spans="1:14">
      <c r="A36" s="3">
        <v>10</v>
      </c>
      <c r="B36" s="3">
        <v>2</v>
      </c>
      <c r="C36" s="3">
        <f/>
        <v>0</v>
      </c>
      <c r="D36" s="3" t="s">
        <v>35</v>
      </c>
      <c r="E36" s="3" t="s">
        <v>21</v>
      </c>
      <c r="F36" s="3">
        <v>3</v>
      </c>
      <c r="G36" s="3">
        <v>1</v>
      </c>
      <c r="H36" s="3">
        <v>1</v>
      </c>
      <c r="I36" s="3">
        <v>0</v>
      </c>
      <c r="J36" s="4" t="str">
        <f>HYPERLINK("http://141.218.60.56/~jnz1568/getInfo.php?workbook=10_02.xlsx&amp;sheet=E0&amp;row=36&amp;col=10&amp;number=9286640&amp;sourceID=2","9286640")</f>
        <v>9286640</v>
      </c>
      <c r="K36" s="4" t="str">
        <f>HYPERLINK("http://141.218.60.56/~jnz1568/getInfo.php?workbook=10_02.xlsx&amp;sheet=E0&amp;row=36&amp;col=11&amp;number=9288606.44625&amp;sourceID=46","9288606.44625")</f>
        <v>9288606.44625</v>
      </c>
      <c r="L36" s="4" t="str">
        <f>HYPERLINK("http://141.218.60.56/~jnz1568/getInfo.php?workbook=10_02.xlsx&amp;sheet=E0&amp;row=36&amp;col=12&amp;number=9287363&amp;sourceID=32","9287363")</f>
        <v>9287363</v>
      </c>
      <c r="M36" s="4" t="str">
        <f>HYPERLINK("http://141.218.60.56/~jnz1568/getInfo.php?workbook=10_02.xlsx&amp;sheet=E0&amp;row=36&amp;col=13&amp;number=&amp;sourceID=35","")</f>
        <v/>
      </c>
      <c r="N36" s="4" t="str">
        <f>HYPERLINK("http://141.218.60.56/~jnz1568/getInfo.php?workbook=10_02.xlsx&amp;sheet=E0&amp;row=36&amp;col=14&amp;number=&amp;sourceID=47","")</f>
        <v/>
      </c>
    </row>
    <row r="37" spans="1:14">
      <c r="A37" s="3">
        <v>10</v>
      </c>
      <c r="B37" s="3">
        <v>2</v>
      </c>
      <c r="C37" s="3">
        <f/>
        <v>0</v>
      </c>
      <c r="D37" s="3" t="s">
        <v>34</v>
      </c>
      <c r="E37" s="3" t="s">
        <v>17</v>
      </c>
      <c r="F37" s="3">
        <v>1</v>
      </c>
      <c r="G37" s="3">
        <v>0</v>
      </c>
      <c r="H37" s="3">
        <v>0</v>
      </c>
      <c r="I37" s="3">
        <v>0</v>
      </c>
      <c r="J37" s="4" t="str">
        <f>HYPERLINK("http://141.218.60.56/~jnz1568/getInfo.php?workbook=10_02.xlsx&amp;sheet=E0&amp;row=37&amp;col=10&amp;number=9286650&amp;sourceID=2","9286650")</f>
        <v>9286650</v>
      </c>
      <c r="K37" s="4" t="str">
        <f>HYPERLINK("http://141.218.60.56/~jnz1568/getInfo.php?workbook=10_02.xlsx&amp;sheet=E0&amp;row=37&amp;col=11&amp;number=9288911.51598&amp;sourceID=46","9288911.51598")</f>
        <v>9288911.51598</v>
      </c>
      <c r="L37" s="4" t="str">
        <f>HYPERLINK("http://141.218.60.56/~jnz1568/getInfo.php?workbook=10_02.xlsx&amp;sheet=E0&amp;row=37&amp;col=12&amp;number=9287382&amp;sourceID=32","9287382")</f>
        <v>9287382</v>
      </c>
      <c r="M37" s="4" t="str">
        <f>HYPERLINK("http://141.218.60.56/~jnz1568/getInfo.php?workbook=10_02.xlsx&amp;sheet=E0&amp;row=37&amp;col=13&amp;number=&amp;sourceID=35","")</f>
        <v/>
      </c>
      <c r="N37" s="4" t="str">
        <f>HYPERLINK("http://141.218.60.56/~jnz1568/getInfo.php?workbook=10_02.xlsx&amp;sheet=E0&amp;row=37&amp;col=14&amp;number=&amp;sourceID=47","")</f>
        <v/>
      </c>
    </row>
    <row r="38" spans="1:14">
      <c r="A38" s="3">
        <v>10</v>
      </c>
      <c r="B38" s="3">
        <v>2</v>
      </c>
      <c r="C38" s="3">
        <f/>
        <v>0</v>
      </c>
      <c r="D38" s="3" t="s">
        <v>35</v>
      </c>
      <c r="E38" s="3" t="s">
        <v>21</v>
      </c>
      <c r="F38" s="3">
        <v>3</v>
      </c>
      <c r="G38" s="3">
        <v>1</v>
      </c>
      <c r="H38" s="3">
        <v>1</v>
      </c>
      <c r="I38" s="3">
        <v>1</v>
      </c>
      <c r="J38" s="4" t="str">
        <f>HYPERLINK("http://141.218.60.56/~jnz1568/getInfo.php?workbook=10_02.xlsx&amp;sheet=E0&amp;row=38&amp;col=10&amp;number=9286660&amp;sourceID=2","9286660")</f>
        <v>9286660</v>
      </c>
      <c r="K38" s="4" t="str">
        <f>HYPERLINK("http://141.218.60.56/~jnz1568/getInfo.php?workbook=10_02.xlsx&amp;sheet=E0&amp;row=38&amp;col=11&amp;number=9288638.27007&amp;sourceID=46","9288638.27007")</f>
        <v>9288638.27007</v>
      </c>
      <c r="L38" s="4" t="str">
        <f>HYPERLINK("http://141.218.60.56/~jnz1568/getInfo.php?workbook=10_02.xlsx&amp;sheet=E0&amp;row=38&amp;col=12&amp;number=9287389&amp;sourceID=32","9287389")</f>
        <v>9287389</v>
      </c>
      <c r="M38" s="4" t="str">
        <f>HYPERLINK("http://141.218.60.56/~jnz1568/getInfo.php?workbook=10_02.xlsx&amp;sheet=E0&amp;row=38&amp;col=13&amp;number=&amp;sourceID=35","")</f>
        <v/>
      </c>
      <c r="N38" s="4" t="str">
        <f>HYPERLINK("http://141.218.60.56/~jnz1568/getInfo.php?workbook=10_02.xlsx&amp;sheet=E0&amp;row=38&amp;col=14&amp;number=&amp;sourceID=47","")</f>
        <v/>
      </c>
    </row>
    <row r="39" spans="1:14">
      <c r="A39" s="3">
        <v>10</v>
      </c>
      <c r="B39" s="3">
        <v>2</v>
      </c>
      <c r="C39" s="3">
        <f/>
        <v>0</v>
      </c>
      <c r="D39" s="3" t="s">
        <v>35</v>
      </c>
      <c r="E39" s="3" t="s">
        <v>21</v>
      </c>
      <c r="F39" s="3">
        <v>3</v>
      </c>
      <c r="G39" s="3">
        <v>1</v>
      </c>
      <c r="H39" s="3">
        <v>1</v>
      </c>
      <c r="I39" s="3">
        <v>2</v>
      </c>
      <c r="J39" s="4" t="str">
        <f>HYPERLINK("http://141.218.60.56/~jnz1568/getInfo.php?workbook=10_02.xlsx&amp;sheet=E0&amp;row=39&amp;col=10&amp;number=9286760&amp;sourceID=2","9286760")</f>
        <v>9286760</v>
      </c>
      <c r="K39" s="4" t="str">
        <f>HYPERLINK("http://141.218.60.56/~jnz1568/getInfo.php?workbook=10_02.xlsx&amp;sheet=E0&amp;row=39&amp;col=11&amp;number=9288752.39688&amp;sourceID=46","9288752.39688")</f>
        <v>9288752.39688</v>
      </c>
      <c r="L39" s="4" t="str">
        <f>HYPERLINK("http://141.218.60.56/~jnz1568/getInfo.php?workbook=10_02.xlsx&amp;sheet=E0&amp;row=39&amp;col=12&amp;number=9287495&amp;sourceID=32","9287495")</f>
        <v>9287495</v>
      </c>
      <c r="M39" s="4" t="str">
        <f>HYPERLINK("http://141.218.60.56/~jnz1568/getInfo.php?workbook=10_02.xlsx&amp;sheet=E0&amp;row=39&amp;col=13&amp;number=&amp;sourceID=35","")</f>
        <v/>
      </c>
      <c r="N39" s="4" t="str">
        <f>HYPERLINK("http://141.218.60.56/~jnz1568/getInfo.php?workbook=10_02.xlsx&amp;sheet=E0&amp;row=39&amp;col=14&amp;number=&amp;sourceID=47","")</f>
        <v/>
      </c>
    </row>
    <row r="40" spans="1:14">
      <c r="A40" s="3">
        <v>10</v>
      </c>
      <c r="B40" s="3">
        <v>2</v>
      </c>
      <c r="C40" s="3">
        <f/>
        <v>0</v>
      </c>
      <c r="D40" s="3" t="s">
        <v>36</v>
      </c>
      <c r="E40" s="3" t="s">
        <v>26</v>
      </c>
      <c r="F40" s="3">
        <v>3</v>
      </c>
      <c r="G40" s="3">
        <v>2</v>
      </c>
      <c r="H40" s="3">
        <v>0</v>
      </c>
      <c r="I40" s="3">
        <v>1</v>
      </c>
      <c r="J40" s="4" t="str">
        <f>HYPERLINK("http://141.218.60.56/~jnz1568/getInfo.php?workbook=10_02.xlsx&amp;sheet=E0&amp;row=40&amp;col=10&amp;number=9288500&amp;sourceID=2","9288500")</f>
        <v>9288500</v>
      </c>
      <c r="K40" s="4" t="str">
        <f>HYPERLINK("http://141.218.60.56/~jnz1568/getInfo.php?workbook=10_02.xlsx&amp;sheet=E0&amp;row=40&amp;col=11&amp;number=9291211.61012&amp;sourceID=46","9291211.61012")</f>
        <v>9291211.61012</v>
      </c>
      <c r="L40" s="4" t="str">
        <f>HYPERLINK("http://141.218.60.56/~jnz1568/getInfo.php?workbook=10_02.xlsx&amp;sheet=E0&amp;row=40&amp;col=12&amp;number=9289889&amp;sourceID=32","9289889")</f>
        <v>9289889</v>
      </c>
      <c r="M40" s="4" t="str">
        <f>HYPERLINK("http://141.218.60.56/~jnz1568/getInfo.php?workbook=10_02.xlsx&amp;sheet=E0&amp;row=40&amp;col=13&amp;number=&amp;sourceID=35","")</f>
        <v/>
      </c>
      <c r="N40" s="4" t="str">
        <f>HYPERLINK("http://141.218.60.56/~jnz1568/getInfo.php?workbook=10_02.xlsx&amp;sheet=E0&amp;row=40&amp;col=14&amp;number=&amp;sourceID=47","")</f>
        <v/>
      </c>
    </row>
    <row r="41" spans="1:14">
      <c r="A41" s="3">
        <v>10</v>
      </c>
      <c r="B41" s="3">
        <v>2</v>
      </c>
      <c r="C41" s="3">
        <f/>
        <v>0</v>
      </c>
      <c r="D41" s="3" t="s">
        <v>36</v>
      </c>
      <c r="E41" s="3" t="s">
        <v>26</v>
      </c>
      <c r="F41" s="3">
        <v>3</v>
      </c>
      <c r="G41" s="3">
        <v>2</v>
      </c>
      <c r="H41" s="3">
        <v>0</v>
      </c>
      <c r="I41" s="3">
        <v>2</v>
      </c>
      <c r="J41" s="4" t="str">
        <f>HYPERLINK("http://141.218.60.56/~jnz1568/getInfo.php?workbook=10_02.xlsx&amp;sheet=E0&amp;row=41&amp;col=10&amp;number=9288500&amp;sourceID=2","9288500")</f>
        <v>9288500</v>
      </c>
      <c r="K41" s="4" t="str">
        <f>HYPERLINK("http://141.218.60.56/~jnz1568/getInfo.php?workbook=10_02.xlsx&amp;sheet=E0&amp;row=41&amp;col=11&amp;number=9291220.38911&amp;sourceID=46","9291220.38911")</f>
        <v>9291220.38911</v>
      </c>
      <c r="L41" s="4" t="str">
        <f>HYPERLINK("http://141.218.60.56/~jnz1568/getInfo.php?workbook=10_02.xlsx&amp;sheet=E0&amp;row=41&amp;col=12&amp;number=9289896&amp;sourceID=32","9289896")</f>
        <v>9289896</v>
      </c>
      <c r="M41" s="4" t="str">
        <f>HYPERLINK("http://141.218.60.56/~jnz1568/getInfo.php?workbook=10_02.xlsx&amp;sheet=E0&amp;row=41&amp;col=13&amp;number=&amp;sourceID=35","")</f>
        <v/>
      </c>
      <c r="N41" s="4" t="str">
        <f>HYPERLINK("http://141.218.60.56/~jnz1568/getInfo.php?workbook=10_02.xlsx&amp;sheet=E0&amp;row=41&amp;col=14&amp;number=&amp;sourceID=47","")</f>
        <v/>
      </c>
    </row>
    <row r="42" spans="1:14">
      <c r="A42" s="3">
        <v>10</v>
      </c>
      <c r="B42" s="3">
        <v>2</v>
      </c>
      <c r="C42" s="3">
        <f/>
        <v>0</v>
      </c>
      <c r="D42" s="3" t="s">
        <v>36</v>
      </c>
      <c r="E42" s="3" t="s">
        <v>26</v>
      </c>
      <c r="F42" s="3">
        <v>3</v>
      </c>
      <c r="G42" s="3">
        <v>2</v>
      </c>
      <c r="H42" s="3">
        <v>0</v>
      </c>
      <c r="I42" s="3">
        <v>3</v>
      </c>
      <c r="J42" s="4" t="str">
        <f>HYPERLINK("http://141.218.60.56/~jnz1568/getInfo.php?workbook=10_02.xlsx&amp;sheet=E0&amp;row=42&amp;col=10&amp;number=9288500&amp;sourceID=2","9288500")</f>
        <v>9288500</v>
      </c>
      <c r="K42" s="4" t="str">
        <f>HYPERLINK("http://141.218.60.56/~jnz1568/getInfo.php?workbook=10_02.xlsx&amp;sheet=E0&amp;row=42&amp;col=11&amp;number=9291250.01818&amp;sourceID=46","9291250.01818")</f>
        <v>9291250.01818</v>
      </c>
      <c r="L42" s="4" t="str">
        <f>HYPERLINK("http://141.218.60.56/~jnz1568/getInfo.php?workbook=10_02.xlsx&amp;sheet=E0&amp;row=42&amp;col=12&amp;number=9289927&amp;sourceID=32","9289927")</f>
        <v>9289927</v>
      </c>
      <c r="M42" s="4" t="str">
        <f>HYPERLINK("http://141.218.60.56/~jnz1568/getInfo.php?workbook=10_02.xlsx&amp;sheet=E0&amp;row=42&amp;col=13&amp;number=&amp;sourceID=35","")</f>
        <v/>
      </c>
      <c r="N42" s="4" t="str">
        <f>HYPERLINK("http://141.218.60.56/~jnz1568/getInfo.php?workbook=10_02.xlsx&amp;sheet=E0&amp;row=42&amp;col=14&amp;number=&amp;sourceID=47","")</f>
        <v/>
      </c>
    </row>
    <row r="43" spans="1:14">
      <c r="A43" s="3">
        <v>10</v>
      </c>
      <c r="B43" s="3">
        <v>2</v>
      </c>
      <c r="C43" s="3">
        <f/>
        <v>0</v>
      </c>
      <c r="D43" s="3" t="s">
        <v>37</v>
      </c>
      <c r="E43" s="3" t="s">
        <v>32</v>
      </c>
      <c r="F43" s="3">
        <v>3</v>
      </c>
      <c r="G43" s="3">
        <v>3</v>
      </c>
      <c r="H43" s="3">
        <v>1</v>
      </c>
      <c r="I43" s="3">
        <v>3</v>
      </c>
      <c r="J43" s="4" t="str">
        <f>HYPERLINK("http://141.218.60.56/~jnz1568/getInfo.php?workbook=10_02.xlsx&amp;sheet=E0&amp;row=43&amp;col=10&amp;number=9289800&amp;sourceID=2","9289800")</f>
        <v>9289800</v>
      </c>
      <c r="K43" s="4" t="str">
        <f>HYPERLINK("http://141.218.60.56/~jnz1568/getInfo.php?workbook=10_02.xlsx&amp;sheet=E0&amp;row=43&amp;col=11&amp;number=9291411.33204&amp;sourceID=46","9291411.33204")</f>
        <v>9291411.33204</v>
      </c>
      <c r="L43" s="4" t="str">
        <f>HYPERLINK("http://141.218.60.56/~jnz1568/getInfo.php?workbook=10_02.xlsx&amp;sheet=E0&amp;row=43&amp;col=12&amp;number=9290080&amp;sourceID=32","9290080")</f>
        <v>9290080</v>
      </c>
      <c r="M43" s="4" t="str">
        <f>HYPERLINK("http://141.218.60.56/~jnz1568/getInfo.php?workbook=10_02.xlsx&amp;sheet=E0&amp;row=43&amp;col=13&amp;number=&amp;sourceID=35","")</f>
        <v/>
      </c>
      <c r="N43" s="4" t="str">
        <f>HYPERLINK("http://141.218.60.56/~jnz1568/getInfo.php?workbook=10_02.xlsx&amp;sheet=E0&amp;row=43&amp;col=14&amp;number=&amp;sourceID=47","")</f>
        <v/>
      </c>
    </row>
    <row r="44" spans="1:14">
      <c r="A44" s="3">
        <v>10</v>
      </c>
      <c r="B44" s="3">
        <v>2</v>
      </c>
      <c r="C44" s="3">
        <f/>
        <v>0</v>
      </c>
      <c r="D44" s="3" t="s">
        <v>37</v>
      </c>
      <c r="E44" s="3" t="s">
        <v>32</v>
      </c>
      <c r="F44" s="3">
        <v>3</v>
      </c>
      <c r="G44" s="3">
        <v>3</v>
      </c>
      <c r="H44" s="3">
        <v>1</v>
      </c>
      <c r="I44" s="3">
        <v>2</v>
      </c>
      <c r="J44" s="4" t="str">
        <f>HYPERLINK("http://141.218.60.56/~jnz1568/getInfo.php?workbook=10_02.xlsx&amp;sheet=E0&amp;row=44&amp;col=10&amp;number=9289800&amp;sourceID=2","9289800")</f>
        <v>9289800</v>
      </c>
      <c r="K44" s="4" t="str">
        <f>HYPERLINK("http://141.218.60.56/~jnz1568/getInfo.php?workbook=10_02.xlsx&amp;sheet=E0&amp;row=44&amp;col=11&amp;number=9291415.72153&amp;sourceID=46","9291415.72153")</f>
        <v>9291415.72153</v>
      </c>
      <c r="L44" s="4" t="str">
        <f>HYPERLINK("http://141.218.60.56/~jnz1568/getInfo.php?workbook=10_02.xlsx&amp;sheet=E0&amp;row=44&amp;col=12&amp;number=9290085&amp;sourceID=32","9290085")</f>
        <v>9290085</v>
      </c>
      <c r="M44" s="4" t="str">
        <f>HYPERLINK("http://141.218.60.56/~jnz1568/getInfo.php?workbook=10_02.xlsx&amp;sheet=E0&amp;row=44&amp;col=13&amp;number=&amp;sourceID=35","")</f>
        <v/>
      </c>
      <c r="N44" s="4" t="str">
        <f>HYPERLINK("http://141.218.60.56/~jnz1568/getInfo.php?workbook=10_02.xlsx&amp;sheet=E0&amp;row=44&amp;col=14&amp;number=&amp;sourceID=47","")</f>
        <v/>
      </c>
    </row>
    <row r="45" spans="1:14">
      <c r="A45" s="3">
        <v>10</v>
      </c>
      <c r="B45" s="3">
        <v>2</v>
      </c>
      <c r="C45" s="3">
        <f/>
        <v>0</v>
      </c>
      <c r="D45" s="3" t="s">
        <v>37</v>
      </c>
      <c r="E45" s="3" t="s">
        <v>32</v>
      </c>
      <c r="F45" s="3">
        <v>3</v>
      </c>
      <c r="G45" s="3">
        <v>3</v>
      </c>
      <c r="H45" s="3">
        <v>1</v>
      </c>
      <c r="I45" s="3">
        <v>4</v>
      </c>
      <c r="J45" s="4" t="str">
        <f>HYPERLINK("http://141.218.60.56/~jnz1568/getInfo.php?workbook=10_02.xlsx&amp;sheet=E0&amp;row=45&amp;col=10&amp;number=9289800&amp;sourceID=2","9289800")</f>
        <v>9289800</v>
      </c>
      <c r="K45" s="4" t="str">
        <f>HYPERLINK("http://141.218.60.56/~jnz1568/getInfo.php?workbook=10_02.xlsx&amp;sheet=E0&amp;row=45&amp;col=11&amp;number=9291435.47425&amp;sourceID=46","9291435.47425")</f>
        <v>9291435.47425</v>
      </c>
      <c r="L45" s="4" t="str">
        <f>HYPERLINK("http://141.218.60.56/~jnz1568/getInfo.php?workbook=10_02.xlsx&amp;sheet=E0&amp;row=45&amp;col=12&amp;number=&amp;sourceID=32","")</f>
        <v/>
      </c>
      <c r="M45" s="4" t="str">
        <f>HYPERLINK("http://141.218.60.56/~jnz1568/getInfo.php?workbook=10_02.xlsx&amp;sheet=E0&amp;row=45&amp;col=13&amp;number=&amp;sourceID=35","")</f>
        <v/>
      </c>
      <c r="N45" s="4" t="str">
        <f>HYPERLINK("http://141.218.60.56/~jnz1568/getInfo.php?workbook=10_02.xlsx&amp;sheet=E0&amp;row=45&amp;col=14&amp;number=&amp;sourceID=47","")</f>
        <v/>
      </c>
    </row>
    <row r="46" spans="1:14">
      <c r="A46" s="3">
        <v>10</v>
      </c>
      <c r="B46" s="3">
        <v>2</v>
      </c>
      <c r="C46" s="3">
        <f/>
        <v>0</v>
      </c>
      <c r="D46" s="3" t="s">
        <v>36</v>
      </c>
      <c r="E46" s="3" t="s">
        <v>27</v>
      </c>
      <c r="F46" s="3">
        <v>1</v>
      </c>
      <c r="G46" s="3">
        <v>2</v>
      </c>
      <c r="H46" s="3">
        <v>0</v>
      </c>
      <c r="I46" s="3">
        <v>2</v>
      </c>
      <c r="J46" s="4" t="str">
        <f>HYPERLINK("http://141.218.60.56/~jnz1568/getInfo.php?workbook=10_02.xlsx&amp;sheet=E0&amp;row=46&amp;col=10&amp;number=&amp;sourceID=2","")</f>
        <v/>
      </c>
      <c r="K46" s="4" t="str">
        <f>HYPERLINK("http://141.218.60.56/~jnz1568/getInfo.php?workbook=10_02.xlsx&amp;sheet=E0&amp;row=46&amp;col=11&amp;number=9291471.68756&amp;sourceID=46","9291471.68756")</f>
        <v>9291471.68756</v>
      </c>
      <c r="L46" s="4" t="str">
        <f>HYPERLINK("http://141.218.60.56/~jnz1568/getInfo.php?workbook=10_02.xlsx&amp;sheet=E0&amp;row=46&amp;col=12&amp;number=9290095&amp;sourceID=32","9290095")</f>
        <v>9290095</v>
      </c>
      <c r="M46" s="4" t="str">
        <f>HYPERLINK("http://141.218.60.56/~jnz1568/getInfo.php?workbook=10_02.xlsx&amp;sheet=E0&amp;row=46&amp;col=13&amp;number=&amp;sourceID=35","")</f>
        <v/>
      </c>
      <c r="N46" s="4" t="str">
        <f>HYPERLINK("http://141.218.60.56/~jnz1568/getInfo.php?workbook=10_02.xlsx&amp;sheet=E0&amp;row=46&amp;col=14&amp;number=&amp;sourceID=47","")</f>
        <v/>
      </c>
    </row>
    <row r="47" spans="1:14">
      <c r="A47" s="3">
        <v>10</v>
      </c>
      <c r="B47" s="3">
        <v>2</v>
      </c>
      <c r="C47" s="3">
        <f/>
        <v>0</v>
      </c>
      <c r="D47" s="3" t="s">
        <v>37</v>
      </c>
      <c r="E47" s="3" t="s">
        <v>33</v>
      </c>
      <c r="F47" s="3">
        <v>1</v>
      </c>
      <c r="G47" s="3">
        <v>3</v>
      </c>
      <c r="H47" s="3">
        <v>1</v>
      </c>
      <c r="I47" s="3">
        <v>3</v>
      </c>
      <c r="J47" s="4" t="str">
        <f>HYPERLINK("http://141.218.60.56/~jnz1568/getInfo.php?workbook=10_02.xlsx&amp;sheet=E0&amp;row=47&amp;col=10&amp;number=9294400&amp;sourceID=2","9294400")</f>
        <v>9294400</v>
      </c>
      <c r="K47" s="4" t="str">
        <f>HYPERLINK("http://141.218.60.56/~jnz1568/getInfo.php?workbook=10_02.xlsx&amp;sheet=E0&amp;row=47&amp;col=11&amp;number=9291443.15586&amp;sourceID=46","9291443.15586")</f>
        <v>9291443.15586</v>
      </c>
      <c r="L47" s="4" t="str">
        <f>HYPERLINK("http://141.218.60.56/~jnz1568/getInfo.php?workbook=10_02.xlsx&amp;sheet=E0&amp;row=47&amp;col=12&amp;number=9290111&amp;sourceID=32","9290111")</f>
        <v>9290111</v>
      </c>
      <c r="M47" s="4" t="str">
        <f>HYPERLINK("http://141.218.60.56/~jnz1568/getInfo.php?workbook=10_02.xlsx&amp;sheet=E0&amp;row=47&amp;col=13&amp;number=&amp;sourceID=35","")</f>
        <v/>
      </c>
      <c r="N47" s="4" t="str">
        <f>HYPERLINK("http://141.218.60.56/~jnz1568/getInfo.php?workbook=10_02.xlsx&amp;sheet=E0&amp;row=47&amp;col=14&amp;number=&amp;sourceID=47","")</f>
        <v/>
      </c>
    </row>
    <row r="48" spans="1:14">
      <c r="A48" s="3">
        <v>10</v>
      </c>
      <c r="B48" s="3">
        <v>2</v>
      </c>
      <c r="C48" s="3">
        <f/>
        <v>0</v>
      </c>
      <c r="D48" s="3" t="s">
        <v>38</v>
      </c>
      <c r="E48" s="3" t="s">
        <v>39</v>
      </c>
      <c r="F48" s="3">
        <v>3</v>
      </c>
      <c r="G48" s="3">
        <v>4</v>
      </c>
      <c r="H48" s="3">
        <v>0</v>
      </c>
      <c r="I48" s="3">
        <v>4</v>
      </c>
      <c r="J48" s="4" t="str">
        <f>HYPERLINK("http://141.218.60.56/~jnz1568/getInfo.php?workbook=10_02.xlsx&amp;sheet=E0&amp;row=48&amp;col=10&amp;number=&amp;sourceID=2","")</f>
        <v/>
      </c>
      <c r="K48" s="4" t="str">
        <f>HYPERLINK("http://141.218.60.56/~jnz1568/getInfo.php?workbook=10_02.xlsx&amp;sheet=E0&amp;row=48&amp;col=11&amp;number=9291438.76637&amp;sourceID=46","9291438.76637")</f>
        <v>9291438.76637</v>
      </c>
      <c r="L48" s="4" t="str">
        <f>HYPERLINK("http://141.218.60.56/~jnz1568/getInfo.php?workbook=10_02.xlsx&amp;sheet=E0&amp;row=48&amp;col=12&amp;number=&amp;sourceID=32","")</f>
        <v/>
      </c>
      <c r="M48" s="4" t="str">
        <f>HYPERLINK("http://141.218.60.56/~jnz1568/getInfo.php?workbook=10_02.xlsx&amp;sheet=E0&amp;row=48&amp;col=13&amp;number=&amp;sourceID=35","")</f>
        <v/>
      </c>
      <c r="N48" s="4" t="str">
        <f>HYPERLINK("http://141.218.60.56/~jnz1568/getInfo.php?workbook=10_02.xlsx&amp;sheet=E0&amp;row=48&amp;col=14&amp;number=&amp;sourceID=47","")</f>
        <v/>
      </c>
    </row>
    <row r="49" spans="1:14">
      <c r="A49" s="3">
        <v>10</v>
      </c>
      <c r="B49" s="3">
        <v>2</v>
      </c>
      <c r="C49" s="3">
        <f/>
        <v>0</v>
      </c>
      <c r="D49" s="3" t="s">
        <v>38</v>
      </c>
      <c r="E49" s="3" t="s">
        <v>39</v>
      </c>
      <c r="F49" s="3">
        <v>3</v>
      </c>
      <c r="G49" s="3">
        <v>4</v>
      </c>
      <c r="H49" s="3">
        <v>0</v>
      </c>
      <c r="I49" s="3">
        <v>3</v>
      </c>
      <c r="J49" s="4" t="str">
        <f>HYPERLINK("http://141.218.60.56/~jnz1568/getInfo.php?workbook=10_02.xlsx&amp;sheet=E0&amp;row=49&amp;col=10&amp;number=&amp;sourceID=2","")</f>
        <v/>
      </c>
      <c r="K49" s="4" t="str">
        <f>HYPERLINK("http://141.218.60.56/~jnz1568/getInfo.php?workbook=10_02.xlsx&amp;sheet=E0&amp;row=49&amp;col=11&amp;number=9291442.05848&amp;sourceID=46","9291442.05848")</f>
        <v>9291442.05848</v>
      </c>
      <c r="L49" s="4" t="str">
        <f>HYPERLINK("http://141.218.60.56/~jnz1568/getInfo.php?workbook=10_02.xlsx&amp;sheet=E0&amp;row=49&amp;col=12&amp;number=9290117&amp;sourceID=32","9290117")</f>
        <v>9290117</v>
      </c>
      <c r="M49" s="4" t="str">
        <f>HYPERLINK("http://141.218.60.56/~jnz1568/getInfo.php?workbook=10_02.xlsx&amp;sheet=E0&amp;row=49&amp;col=13&amp;number=&amp;sourceID=35","")</f>
        <v/>
      </c>
      <c r="N49" s="4" t="str">
        <f>HYPERLINK("http://141.218.60.56/~jnz1568/getInfo.php?workbook=10_02.xlsx&amp;sheet=E0&amp;row=49&amp;col=14&amp;number=&amp;sourceID=47","")</f>
        <v/>
      </c>
    </row>
    <row r="50" spans="1:14">
      <c r="A50" s="3">
        <v>10</v>
      </c>
      <c r="B50" s="3">
        <v>2</v>
      </c>
      <c r="C50" s="3">
        <f/>
        <v>0</v>
      </c>
      <c r="D50" s="3" t="s">
        <v>38</v>
      </c>
      <c r="E50" s="3" t="s">
        <v>39</v>
      </c>
      <c r="F50" s="3">
        <v>3</v>
      </c>
      <c r="G50" s="3">
        <v>4</v>
      </c>
      <c r="H50" s="3">
        <v>0</v>
      </c>
      <c r="I50" s="3">
        <v>5</v>
      </c>
      <c r="J50" s="4" t="str">
        <f>HYPERLINK("http://141.218.60.56/~jnz1568/getInfo.php?workbook=10_02.xlsx&amp;sheet=E0&amp;row=50&amp;col=10&amp;number=&amp;sourceID=2","")</f>
        <v/>
      </c>
      <c r="K50" s="4" t="str">
        <f>HYPERLINK("http://141.218.60.56/~jnz1568/getInfo.php?workbook=10_02.xlsx&amp;sheet=E0&amp;row=50&amp;col=11&amp;number=9291455.22696&amp;sourceID=46","9291455.22696")</f>
        <v>9291455.22696</v>
      </c>
      <c r="L50" s="4" t="str">
        <f>HYPERLINK("http://141.218.60.56/~jnz1568/getInfo.php?workbook=10_02.xlsx&amp;sheet=E0&amp;row=50&amp;col=12&amp;number=&amp;sourceID=32","")</f>
        <v/>
      </c>
      <c r="M50" s="4" t="str">
        <f>HYPERLINK("http://141.218.60.56/~jnz1568/getInfo.php?workbook=10_02.xlsx&amp;sheet=E0&amp;row=50&amp;col=13&amp;number=&amp;sourceID=35","")</f>
        <v/>
      </c>
      <c r="N50" s="4" t="str">
        <f>HYPERLINK("http://141.218.60.56/~jnz1568/getInfo.php?workbook=10_02.xlsx&amp;sheet=E0&amp;row=50&amp;col=14&amp;number=&amp;sourceID=47","")</f>
        <v/>
      </c>
    </row>
    <row r="51" spans="1:14">
      <c r="A51" s="3">
        <v>10</v>
      </c>
      <c r="B51" s="3">
        <v>2</v>
      </c>
      <c r="C51" s="3">
        <f/>
        <v>0</v>
      </c>
      <c r="D51" s="3" t="s">
        <v>38</v>
      </c>
      <c r="E51" s="3" t="s">
        <v>40</v>
      </c>
      <c r="F51" s="3">
        <v>1</v>
      </c>
      <c r="G51" s="3">
        <v>4</v>
      </c>
      <c r="H51" s="3">
        <v>0</v>
      </c>
      <c r="I51" s="3">
        <v>4</v>
      </c>
      <c r="J51" s="4" t="str">
        <f>HYPERLINK("http://141.218.60.56/~jnz1568/getInfo.php?workbook=10_02.xlsx&amp;sheet=E0&amp;row=51&amp;col=10&amp;number=&amp;sourceID=2","")</f>
        <v/>
      </c>
      <c r="K51" s="4" t="str">
        <f>HYPERLINK("http://141.218.60.56/~jnz1568/getInfo.php?workbook=10_02.xlsx&amp;sheet=E0&amp;row=51&amp;col=11&amp;number=9291457.42171&amp;sourceID=46","9291457.42171")</f>
        <v>9291457.42171</v>
      </c>
      <c r="L51" s="4" t="str">
        <f>HYPERLINK("http://141.218.60.56/~jnz1568/getInfo.php?workbook=10_02.xlsx&amp;sheet=E0&amp;row=51&amp;col=12&amp;number=&amp;sourceID=32","")</f>
        <v/>
      </c>
      <c r="M51" s="4" t="str">
        <f>HYPERLINK("http://141.218.60.56/~jnz1568/getInfo.php?workbook=10_02.xlsx&amp;sheet=E0&amp;row=51&amp;col=13&amp;number=&amp;sourceID=35","")</f>
        <v/>
      </c>
      <c r="N51" s="4" t="str">
        <f>HYPERLINK("http://141.218.60.56/~jnz1568/getInfo.php?workbook=10_02.xlsx&amp;sheet=E0&amp;row=51&amp;col=14&amp;number=&amp;sourceID=47","")</f>
        <v/>
      </c>
    </row>
    <row r="52" spans="1:14">
      <c r="A52" s="3">
        <v>10</v>
      </c>
      <c r="B52" s="3">
        <v>2</v>
      </c>
      <c r="C52" s="3">
        <f/>
        <v>0</v>
      </c>
      <c r="D52" s="3" t="s">
        <v>35</v>
      </c>
      <c r="E52" s="3" t="s">
        <v>22</v>
      </c>
      <c r="F52" s="3">
        <v>1</v>
      </c>
      <c r="G52" s="3">
        <v>1</v>
      </c>
      <c r="H52" s="3">
        <v>1</v>
      </c>
      <c r="I52" s="3">
        <v>1</v>
      </c>
      <c r="J52" s="4" t="str">
        <f>HYPERLINK("http://141.218.60.56/~jnz1568/getInfo.php?workbook=10_02.xlsx&amp;sheet=E0&amp;row=52&amp;col=10&amp;number=9290000&amp;sourceID=2","9290000")</f>
        <v>9290000</v>
      </c>
      <c r="K52" s="4" t="str">
        <f>HYPERLINK("http://141.218.60.56/~jnz1568/getInfo.php?workbook=10_02.xlsx&amp;sheet=E0&amp;row=52&amp;col=11&amp;number=9292299.10692&amp;sourceID=46","9292299.10692")</f>
        <v>9292299.10692</v>
      </c>
      <c r="L52" s="4" t="str">
        <f>HYPERLINK("http://141.218.60.56/~jnz1568/getInfo.php?workbook=10_02.xlsx&amp;sheet=E0&amp;row=52&amp;col=12&amp;number=9290729&amp;sourceID=32","9290729")</f>
        <v>9290729</v>
      </c>
      <c r="M52" s="4" t="str">
        <f>HYPERLINK("http://141.218.60.56/~jnz1568/getInfo.php?workbook=10_02.xlsx&amp;sheet=E0&amp;row=52&amp;col=13&amp;number=&amp;sourceID=35","")</f>
        <v/>
      </c>
      <c r="N52" s="4" t="str">
        <f>HYPERLINK("http://141.218.60.56/~jnz1568/getInfo.php?workbook=10_02.xlsx&amp;sheet=E0&amp;row=52&amp;col=14&amp;number=&amp;sourceID=47","")</f>
        <v/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15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2.7109375" customWidth="1"/>
    <col min="7" max="7" width="14.7109375" customWidth="1"/>
    <col min="8" max="8" width="10.7109375" customWidth="1"/>
    <col min="9" max="9" width="10.7109375" customWidth="1"/>
    <col min="10" max="10" width="10.7109375" customWidth="1"/>
    <col min="11" max="11" width="14.7109375" customWidth="1"/>
    <col min="12" max="12" width="14.7109375" customWidth="1"/>
  </cols>
  <sheetData>
    <row r="1" spans="1:12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/>
      <c r="B2" s="2"/>
      <c r="C2" s="2"/>
      <c r="D2" s="2"/>
      <c r="E2" s="2"/>
      <c r="F2" s="2" t="s">
        <v>42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2</v>
      </c>
      <c r="L2" s="2" t="s">
        <v>5</v>
      </c>
    </row>
    <row r="3" spans="1:12">
      <c r="A3" s="2" t="s">
        <v>6</v>
      </c>
      <c r="B3" s="2" t="s">
        <v>7</v>
      </c>
      <c r="C3" s="2" t="s">
        <v>43</v>
      </c>
      <c r="D3" s="2" t="s">
        <v>8</v>
      </c>
      <c r="E3" s="2" t="s">
        <v>44</v>
      </c>
      <c r="F3" s="2" t="s">
        <v>45</v>
      </c>
      <c r="G3" s="2" t="s">
        <v>46</v>
      </c>
      <c r="H3" s="2" t="s">
        <v>47</v>
      </c>
      <c r="I3" s="2" t="s">
        <v>48</v>
      </c>
      <c r="J3" s="2" t="s">
        <v>49</v>
      </c>
      <c r="K3" s="2" t="s">
        <v>46</v>
      </c>
      <c r="L3" s="2" t="s">
        <v>46</v>
      </c>
    </row>
    <row r="4" spans="1:12">
      <c r="A4" s="3">
        <v>10</v>
      </c>
      <c r="B4" s="3">
        <v>2</v>
      </c>
      <c r="C4" s="3">
        <v>2</v>
      </c>
      <c r="D4" s="3">
        <v>1</v>
      </c>
      <c r="E4" s="3">
        <f>((1/(INDEX(E0!J$4:J$52,C4,1)-INDEX(E0!J$4:J$52,D4,1))))*100000000</f>
        <v>0</v>
      </c>
      <c r="F4" s="4" t="str">
        <f>HYPERLINK("http://141.218.60.56/~jnz1568/getInfo.php?workbook=10_02.xlsx&amp;sheet=A0&amp;row=4&amp;col=6&amp;number=&amp;sourceID=27","")</f>
        <v/>
      </c>
      <c r="G4" s="4" t="str">
        <f>HYPERLINK("http://141.218.60.56/~jnz1568/getInfo.php?workbook=10_02.xlsx&amp;sheet=A0&amp;row=4&amp;col=7&amp;number=&amp;sourceID=32","")</f>
        <v/>
      </c>
      <c r="H4" s="4" t="str">
        <f>HYPERLINK("http://141.218.60.56/~jnz1568/getInfo.php?workbook=10_02.xlsx&amp;sheet=A0&amp;row=4&amp;col=8&amp;number=&amp;sourceID=32","")</f>
        <v/>
      </c>
      <c r="I4" s="4" t="str">
        <f>HYPERLINK("http://141.218.60.56/~jnz1568/getInfo.php?workbook=10_02.xlsx&amp;sheet=A0&amp;row=4&amp;col=9&amp;number=10940&amp;sourceID=32","10940")</f>
        <v>10940</v>
      </c>
      <c r="J4" s="4" t="str">
        <f>HYPERLINK("http://141.218.60.56/~jnz1568/getInfo.php?workbook=10_02.xlsx&amp;sheet=A0&amp;row=4&amp;col=10&amp;number=&amp;sourceID=32","")</f>
        <v/>
      </c>
      <c r="K4" s="4" t="str">
        <f>HYPERLINK("http://141.218.60.56/~jnz1568/getInfo.php?workbook=10_02.xlsx&amp;sheet=A0&amp;row=4&amp;col=11&amp;number=9843.4&amp;sourceID=46","9843.4")</f>
        <v>9843.4</v>
      </c>
      <c r="L4" s="4" t="str">
        <f>HYPERLINK("http://141.218.60.56/~jnz1568/getInfo.php?workbook=10_02.xlsx&amp;sheet=A0&amp;row=4&amp;col=12&amp;number=&amp;sourceID=47","")</f>
        <v/>
      </c>
    </row>
    <row r="5" spans="1:12">
      <c r="A5" s="3">
        <v>10</v>
      </c>
      <c r="B5" s="3">
        <v>2</v>
      </c>
      <c r="C5" s="3">
        <v>3</v>
      </c>
      <c r="D5" s="3">
        <v>2</v>
      </c>
      <c r="E5" s="3">
        <f>((1/(INDEX(E0!J$4:J$52,C5,1)-INDEX(E0!J$4:J$52,D5,1))))*100000000</f>
        <v>0</v>
      </c>
      <c r="F5" s="4" t="str">
        <f>HYPERLINK("http://141.218.60.56/~jnz1568/getInfo.php?workbook=10_02.xlsx&amp;sheet=A0&amp;row=5&amp;col=6&amp;number=&amp;sourceID=27","")</f>
        <v/>
      </c>
      <c r="G5" s="4" t="str">
        <f>HYPERLINK("http://141.218.60.56/~jnz1568/getInfo.php?workbook=10_02.xlsx&amp;sheet=A0&amp;row=5&amp;col=7&amp;number=103000000&amp;sourceID=32","103000000")</f>
        <v>103000000</v>
      </c>
      <c r="H5" s="4" t="str">
        <f>HYPERLINK("http://141.218.60.56/~jnz1568/getInfo.php?workbook=10_02.xlsx&amp;sheet=A0&amp;row=5&amp;col=8&amp;number=&amp;sourceID=32","")</f>
        <v/>
      </c>
      <c r="I5" s="4" t="str">
        <f>HYPERLINK("http://141.218.60.56/~jnz1568/getInfo.php?workbook=10_02.xlsx&amp;sheet=A0&amp;row=5&amp;col=9&amp;number=&amp;sourceID=32","")</f>
        <v/>
      </c>
      <c r="J5" s="4" t="str">
        <f>HYPERLINK("http://141.218.60.56/~jnz1568/getInfo.php?workbook=10_02.xlsx&amp;sheet=A0&amp;row=5&amp;col=10&amp;number=&amp;sourceID=32","")</f>
        <v/>
      </c>
      <c r="K5" s="4" t="str">
        <f>HYPERLINK("http://141.218.60.56/~jnz1568/getInfo.php?workbook=10_02.xlsx&amp;sheet=A0&amp;row=5&amp;col=11&amp;number=103470000&amp;sourceID=46","103470000")</f>
        <v>103470000</v>
      </c>
      <c r="L5" s="4" t="str">
        <f>HYPERLINK("http://141.218.60.56/~jnz1568/getInfo.php?workbook=10_02.xlsx&amp;sheet=A0&amp;row=5&amp;col=12&amp;number=95900000&amp;sourceID=47","95900000")</f>
        <v>95900000</v>
      </c>
    </row>
    <row r="6" spans="1:12">
      <c r="A6" s="3">
        <v>10</v>
      </c>
      <c r="B6" s="3">
        <v>2</v>
      </c>
      <c r="C6" s="3">
        <v>4</v>
      </c>
      <c r="D6" s="3">
        <v>1</v>
      </c>
      <c r="E6" s="3">
        <f>((1/(INDEX(E0!J$4:J$52,C6,1)-INDEX(E0!J$4:J$52,D6,1))))*100000000</f>
        <v>0</v>
      </c>
      <c r="F6" s="4" t="str">
        <f>HYPERLINK("http://141.218.60.56/~jnz1568/getInfo.php?workbook=10_02.xlsx&amp;sheet=A0&amp;row=6&amp;col=6&amp;number=&amp;sourceID=27","")</f>
        <v/>
      </c>
      <c r="G6" s="4" t="str">
        <f>HYPERLINK("http://141.218.60.56/~jnz1568/getInfo.php?workbook=10_02.xlsx&amp;sheet=A0&amp;row=6&amp;col=7&amp;number=5257000000&amp;sourceID=32","5257000000")</f>
        <v>5257000000</v>
      </c>
      <c r="H6" s="4" t="str">
        <f>HYPERLINK("http://141.218.60.56/~jnz1568/getInfo.php?workbook=10_02.xlsx&amp;sheet=A0&amp;row=6&amp;col=8&amp;number=&amp;sourceID=32","")</f>
        <v/>
      </c>
      <c r="I6" s="4" t="str">
        <f>HYPERLINK("http://141.218.60.56/~jnz1568/getInfo.php?workbook=10_02.xlsx&amp;sheet=A0&amp;row=6&amp;col=9&amp;number=&amp;sourceID=32","")</f>
        <v/>
      </c>
      <c r="J6" s="4" t="str">
        <f>HYPERLINK("http://141.218.60.56/~jnz1568/getInfo.php?workbook=10_02.xlsx&amp;sheet=A0&amp;row=6&amp;col=10&amp;number=&amp;sourceID=32","")</f>
        <v/>
      </c>
      <c r="K6" s="4" t="str">
        <f>HYPERLINK("http://141.218.60.56/~jnz1568/getInfo.php?workbook=10_02.xlsx&amp;sheet=A0&amp;row=6&amp;col=11&amp;number=4568200000&amp;sourceID=46","4568200000")</f>
        <v>4568200000</v>
      </c>
      <c r="L6" s="4" t="str">
        <f>HYPERLINK("http://141.218.60.56/~jnz1568/getInfo.php?workbook=10_02.xlsx&amp;sheet=A0&amp;row=6&amp;col=12&amp;number=&amp;sourceID=47","")</f>
        <v/>
      </c>
    </row>
    <row r="7" spans="1:12">
      <c r="A7" s="3">
        <v>10</v>
      </c>
      <c r="B7" s="3">
        <v>2</v>
      </c>
      <c r="C7" s="3">
        <v>4</v>
      </c>
      <c r="D7" s="3">
        <v>2</v>
      </c>
      <c r="E7" s="3">
        <f>((1/(INDEX(E0!J$4:J$52,C7,1)-INDEX(E0!J$4:J$52,D7,1))))*100000000</f>
        <v>0</v>
      </c>
      <c r="F7" s="4" t="str">
        <f>HYPERLINK("http://141.218.60.56/~jnz1568/getInfo.php?workbook=10_02.xlsx&amp;sheet=A0&amp;row=7&amp;col=6&amp;number=&amp;sourceID=27","")</f>
        <v/>
      </c>
      <c r="G7" s="4" t="str">
        <f>HYPERLINK("http://141.218.60.56/~jnz1568/getInfo.php?workbook=10_02.xlsx&amp;sheet=A0&amp;row=7&amp;col=7&amp;number=104200000&amp;sourceID=32","104200000")</f>
        <v>104200000</v>
      </c>
      <c r="H7" s="4" t="str">
        <f>HYPERLINK("http://141.218.60.56/~jnz1568/getInfo.php?workbook=10_02.xlsx&amp;sheet=A0&amp;row=7&amp;col=8&amp;number=&amp;sourceID=32","")</f>
        <v/>
      </c>
      <c r="I7" s="4" t="str">
        <f>HYPERLINK("http://141.218.60.56/~jnz1568/getInfo.php?workbook=10_02.xlsx&amp;sheet=A0&amp;row=7&amp;col=9&amp;number=&amp;sourceID=32","")</f>
        <v/>
      </c>
      <c r="J7" s="4" t="str">
        <f>HYPERLINK("http://141.218.60.56/~jnz1568/getInfo.php?workbook=10_02.xlsx&amp;sheet=A0&amp;row=7&amp;col=10&amp;number=0.002219&amp;sourceID=32","0.002219")</f>
        <v>0.002219</v>
      </c>
      <c r="K7" s="4" t="str">
        <f>HYPERLINK("http://141.218.60.56/~jnz1568/getInfo.php?workbook=10_02.xlsx&amp;sheet=A0&amp;row=7&amp;col=11&amp;number=105050000&amp;sourceID=46","105050000")</f>
        <v>105050000</v>
      </c>
      <c r="L7" s="4" t="str">
        <f>HYPERLINK("http://141.218.60.56/~jnz1568/getInfo.php?workbook=10_02.xlsx&amp;sheet=A0&amp;row=7&amp;col=12&amp;number=99300000&amp;sourceID=47","99300000")</f>
        <v>99300000</v>
      </c>
    </row>
    <row r="8" spans="1:12">
      <c r="A8" s="3">
        <v>10</v>
      </c>
      <c r="B8" s="3">
        <v>2</v>
      </c>
      <c r="C8" s="3">
        <v>4</v>
      </c>
      <c r="D8" s="3">
        <v>3</v>
      </c>
      <c r="E8" s="3">
        <f>((1/(INDEX(E0!J$4:J$52,C8,1)-INDEX(E0!J$4:J$52,D8,1))))*100000000</f>
        <v>0</v>
      </c>
      <c r="F8" s="4" t="str">
        <f>HYPERLINK("http://141.218.60.56/~jnz1568/getInfo.php?workbook=10_02.xlsx&amp;sheet=A0&amp;row=8&amp;col=6&amp;number=&amp;sourceID=27","")</f>
        <v/>
      </c>
      <c r="G8" s="4" t="str">
        <f>HYPERLINK("http://141.218.60.56/~jnz1568/getInfo.php?workbook=10_02.xlsx&amp;sheet=A0&amp;row=8&amp;col=7&amp;number=&amp;sourceID=32","")</f>
        <v/>
      </c>
      <c r="H8" s="4" t="str">
        <f>HYPERLINK("http://141.218.60.56/~jnz1568/getInfo.php?workbook=10_02.xlsx&amp;sheet=A0&amp;row=8&amp;col=8&amp;number=&amp;sourceID=32","")</f>
        <v/>
      </c>
      <c r="I8" s="4" t="str">
        <f>HYPERLINK("http://141.218.60.56/~jnz1568/getInfo.php?workbook=10_02.xlsx&amp;sheet=A0&amp;row=8&amp;col=9&amp;number=0.0004805&amp;sourceID=32","0.0004805")</f>
        <v>0.0004805</v>
      </c>
      <c r="J8" s="4" t="str">
        <f>HYPERLINK("http://141.218.60.56/~jnz1568/getInfo.php?workbook=10_02.xlsx&amp;sheet=A0&amp;row=8&amp;col=10&amp;number=&amp;sourceID=32","")</f>
        <v/>
      </c>
      <c r="K8" s="4" t="str">
        <f>HYPERLINK("http://141.218.60.56/~jnz1568/getInfo.php?workbook=10_02.xlsx&amp;sheet=A0&amp;row=8&amp;col=11&amp;number=&amp;sourceID=46","")</f>
        <v/>
      </c>
      <c r="L8" s="4" t="str">
        <f>HYPERLINK("http://141.218.60.56/~jnz1568/getInfo.php?workbook=10_02.xlsx&amp;sheet=A0&amp;row=8&amp;col=12&amp;number=&amp;sourceID=47","")</f>
        <v/>
      </c>
    </row>
    <row r="9" spans="1:12">
      <c r="A9" s="3">
        <v>10</v>
      </c>
      <c r="B9" s="3">
        <v>2</v>
      </c>
      <c r="C9" s="3">
        <v>5</v>
      </c>
      <c r="D9" s="3">
        <v>1</v>
      </c>
      <c r="E9" s="3">
        <f>((1/(INDEX(E0!J$4:J$52,C9,1)-INDEX(E0!J$4:J$52,D9,1))))*100000000</f>
        <v>0</v>
      </c>
      <c r="F9" s="4" t="str">
        <f>HYPERLINK("http://141.218.60.56/~jnz1568/getInfo.php?workbook=10_02.xlsx&amp;sheet=A0&amp;row=9&amp;col=6&amp;number=&amp;sourceID=27","")</f>
        <v/>
      </c>
      <c r="G9" s="4" t="str">
        <f>HYPERLINK("http://141.218.60.56/~jnz1568/getInfo.php?workbook=10_02.xlsx&amp;sheet=A0&amp;row=9&amp;col=7&amp;number=&amp;sourceID=32","")</f>
        <v/>
      </c>
      <c r="H9" s="4" t="str">
        <f>HYPERLINK("http://141.218.60.56/~jnz1568/getInfo.php?workbook=10_02.xlsx&amp;sheet=A0&amp;row=9&amp;col=8&amp;number=&amp;sourceID=32","")</f>
        <v/>
      </c>
      <c r="I9" s="4" t="str">
        <f>HYPERLINK("http://141.218.60.56/~jnz1568/getInfo.php?workbook=10_02.xlsx&amp;sheet=A0&amp;row=9&amp;col=9&amp;number=&amp;sourceID=32","")</f>
        <v/>
      </c>
      <c r="J9" s="4" t="str">
        <f>HYPERLINK("http://141.218.60.56/~jnz1568/getInfo.php?workbook=10_02.xlsx&amp;sheet=A0&amp;row=9&amp;col=10&amp;number=2260000&amp;sourceID=32","2260000")</f>
        <v>2260000</v>
      </c>
      <c r="K9" s="4" t="str">
        <f>HYPERLINK("http://141.218.60.56/~jnz1568/getInfo.php?workbook=10_02.xlsx&amp;sheet=A0&amp;row=9&amp;col=11&amp;number=2215200&amp;sourceID=46","2215200")</f>
        <v>2215200</v>
      </c>
      <c r="L9" s="4" t="str">
        <f>HYPERLINK("http://141.218.60.56/~jnz1568/getInfo.php?workbook=10_02.xlsx&amp;sheet=A0&amp;row=9&amp;col=12&amp;number=&amp;sourceID=47","")</f>
        <v/>
      </c>
    </row>
    <row r="10" spans="1:12">
      <c r="A10" s="3">
        <v>10</v>
      </c>
      <c r="B10" s="3">
        <v>2</v>
      </c>
      <c r="C10" s="3">
        <v>5</v>
      </c>
      <c r="D10" s="3">
        <v>2</v>
      </c>
      <c r="E10" s="3">
        <f>((1/(INDEX(E0!J$4:J$52,C10,1)-INDEX(E0!J$4:J$52,D10,1))))*100000000</f>
        <v>0</v>
      </c>
      <c r="F10" s="4" t="str">
        <f>HYPERLINK("http://141.218.60.56/~jnz1568/getInfo.php?workbook=10_02.xlsx&amp;sheet=A0&amp;row=10&amp;col=6&amp;number=&amp;sourceID=27","")</f>
        <v/>
      </c>
      <c r="G10" s="4" t="str">
        <f>HYPERLINK("http://141.218.60.56/~jnz1568/getInfo.php?workbook=10_02.xlsx&amp;sheet=A0&amp;row=10&amp;col=7&amp;number=110700000&amp;sourceID=32","110700000")</f>
        <v>110700000</v>
      </c>
      <c r="H10" s="4" t="str">
        <f>HYPERLINK("http://141.218.60.56/~jnz1568/getInfo.php?workbook=10_02.xlsx&amp;sheet=A0&amp;row=10&amp;col=8&amp;number=&amp;sourceID=32","")</f>
        <v/>
      </c>
      <c r="I10" s="4" t="str">
        <f>HYPERLINK("http://141.218.60.56/~jnz1568/getInfo.php?workbook=10_02.xlsx&amp;sheet=A0&amp;row=10&amp;col=9&amp;number=&amp;sourceID=32","")</f>
        <v/>
      </c>
      <c r="J10" s="4" t="str">
        <f>HYPERLINK("http://141.218.60.56/~jnz1568/getInfo.php?workbook=10_02.xlsx&amp;sheet=A0&amp;row=10&amp;col=10&amp;number=0.004727&amp;sourceID=32","0.004727")</f>
        <v>0.004727</v>
      </c>
      <c r="K10" s="4" t="str">
        <f>HYPERLINK("http://141.218.60.56/~jnz1568/getInfo.php?workbook=10_02.xlsx&amp;sheet=A0&amp;row=10&amp;col=11&amp;number=112300000&amp;sourceID=46","112300000")</f>
        <v>112300000</v>
      </c>
      <c r="L10" s="4" t="str">
        <f>HYPERLINK("http://141.218.60.56/~jnz1568/getInfo.php?workbook=10_02.xlsx&amp;sheet=A0&amp;row=10&amp;col=12&amp;number=107000000&amp;sourceID=47","107000000")</f>
        <v>107000000</v>
      </c>
    </row>
    <row r="11" spans="1:12">
      <c r="A11" s="3">
        <v>10</v>
      </c>
      <c r="B11" s="3">
        <v>2</v>
      </c>
      <c r="C11" s="3">
        <v>5</v>
      </c>
      <c r="D11" s="3">
        <v>3</v>
      </c>
      <c r="E11" s="3">
        <f>((1/(INDEX(E0!J$4:J$52,C11,1)-INDEX(E0!J$4:J$52,D11,1))))*100000000</f>
        <v>0</v>
      </c>
      <c r="F11" s="4" t="str">
        <f>HYPERLINK("http://141.218.60.56/~jnz1568/getInfo.php?workbook=10_02.xlsx&amp;sheet=A0&amp;row=11&amp;col=6&amp;number=&amp;sourceID=27","")</f>
        <v/>
      </c>
      <c r="G11" s="4" t="str">
        <f>HYPERLINK("http://141.218.60.56/~jnz1568/getInfo.php?workbook=10_02.xlsx&amp;sheet=A0&amp;row=11&amp;col=7&amp;number=&amp;sourceID=32","")</f>
        <v/>
      </c>
      <c r="H11" s="4" t="str">
        <f>HYPERLINK("http://141.218.60.56/~jnz1568/getInfo.php?workbook=10_02.xlsx&amp;sheet=A0&amp;row=11&amp;col=8&amp;number=2.452e-08&amp;sourceID=32","2.452e-08")</f>
        <v>2.452e-08</v>
      </c>
      <c r="I11" s="4" t="str">
        <f>HYPERLINK("http://141.218.60.56/~jnz1568/getInfo.php?workbook=10_02.xlsx&amp;sheet=A0&amp;row=11&amp;col=9&amp;number=&amp;sourceID=32","")</f>
        <v/>
      </c>
      <c r="J11" s="4" t="str">
        <f>HYPERLINK("http://141.218.60.56/~jnz1568/getInfo.php?workbook=10_02.xlsx&amp;sheet=A0&amp;row=11&amp;col=10&amp;number=&amp;sourceID=32","")</f>
        <v/>
      </c>
      <c r="K11" s="4" t="str">
        <f>HYPERLINK("http://141.218.60.56/~jnz1568/getInfo.php?workbook=10_02.xlsx&amp;sheet=A0&amp;row=11&amp;col=11&amp;number=&amp;sourceID=46","")</f>
        <v/>
      </c>
      <c r="L11" s="4" t="str">
        <f>HYPERLINK("http://141.218.60.56/~jnz1568/getInfo.php?workbook=10_02.xlsx&amp;sheet=A0&amp;row=11&amp;col=12&amp;number=&amp;sourceID=47","")</f>
        <v/>
      </c>
    </row>
    <row r="12" spans="1:12">
      <c r="A12" s="3">
        <v>10</v>
      </c>
      <c r="B12" s="3">
        <v>2</v>
      </c>
      <c r="C12" s="3">
        <v>5</v>
      </c>
      <c r="D12" s="3">
        <v>4</v>
      </c>
      <c r="E12" s="3">
        <f>((1/(INDEX(E0!J$4:J$52,C12,1)-INDEX(E0!J$4:J$52,D12,1))))*100000000</f>
        <v>0</v>
      </c>
      <c r="F12" s="4" t="str">
        <f>HYPERLINK("http://141.218.60.56/~jnz1568/getInfo.php?workbook=10_02.xlsx&amp;sheet=A0&amp;row=12&amp;col=6&amp;number=&amp;sourceID=27","")</f>
        <v/>
      </c>
      <c r="G12" s="4" t="str">
        <f>HYPERLINK("http://141.218.60.56/~jnz1568/getInfo.php?workbook=10_02.xlsx&amp;sheet=A0&amp;row=12&amp;col=7&amp;number=&amp;sourceID=32","")</f>
        <v/>
      </c>
      <c r="H12" s="4" t="str">
        <f>HYPERLINK("http://141.218.60.56/~jnz1568/getInfo.php?workbook=10_02.xlsx&amp;sheet=A0&amp;row=12&amp;col=8&amp;number=2.286e-08&amp;sourceID=32","2.286e-08")</f>
        <v>2.286e-08</v>
      </c>
      <c r="I12" s="4" t="str">
        <f>HYPERLINK("http://141.218.60.56/~jnz1568/getInfo.php?workbook=10_02.xlsx&amp;sheet=A0&amp;row=12&amp;col=9&amp;number=0.05037&amp;sourceID=32","0.05037")</f>
        <v>0.05037</v>
      </c>
      <c r="J12" s="4" t="str">
        <f>HYPERLINK("http://141.218.60.56/~jnz1568/getInfo.php?workbook=10_02.xlsx&amp;sheet=A0&amp;row=12&amp;col=10&amp;number=&amp;sourceID=32","")</f>
        <v/>
      </c>
      <c r="K12" s="4" t="str">
        <f>HYPERLINK("http://141.218.60.56/~jnz1568/getInfo.php?workbook=10_02.xlsx&amp;sheet=A0&amp;row=12&amp;col=11&amp;number=&amp;sourceID=46","")</f>
        <v/>
      </c>
      <c r="L12" s="4" t="str">
        <f>HYPERLINK("http://141.218.60.56/~jnz1568/getInfo.php?workbook=10_02.xlsx&amp;sheet=A0&amp;row=12&amp;col=12&amp;number=&amp;sourceID=47","")</f>
        <v/>
      </c>
    </row>
    <row r="13" spans="1:12">
      <c r="A13" s="3">
        <v>10</v>
      </c>
      <c r="B13" s="3">
        <v>2</v>
      </c>
      <c r="C13" s="3">
        <v>6</v>
      </c>
      <c r="D13" s="3">
        <v>1</v>
      </c>
      <c r="E13" s="3"/>
      <c r="F13" s="4" t="str">
        <f>HYPERLINK("http://141.218.60.56/~jnz1568/getInfo.php?workbook=10_02.xlsx&amp;sheet=A0&amp;row=13&amp;col=6&amp;number=99930000000&amp;sourceID=27","99930000000")</f>
        <v>99930000000</v>
      </c>
      <c r="G13" s="4" t="str">
        <f>HYPERLINK("http://141.218.60.56/~jnz1568/getInfo.php?workbook=10_02.xlsx&amp;sheet=A0&amp;row=13&amp;col=7&amp;number=&amp;sourceID=32","")</f>
        <v/>
      </c>
      <c r="H13" s="4" t="str">
        <f>HYPERLINK("http://141.218.60.56/~jnz1568/getInfo.php?workbook=10_02.xlsx&amp;sheet=A0&amp;row=13&amp;col=8&amp;number=&amp;sourceID=32","")</f>
        <v/>
      </c>
      <c r="I13" s="4" t="str">
        <f>HYPERLINK("http://141.218.60.56/~jnz1568/getInfo.php?workbook=10_02.xlsx&amp;sheet=A0&amp;row=13&amp;col=9&amp;number=&amp;sourceID=32","")</f>
        <v/>
      </c>
      <c r="J13" s="4" t="str">
        <f>HYPERLINK("http://141.218.60.56/~jnz1568/getInfo.php?workbook=10_02.xlsx&amp;sheet=A0&amp;row=13&amp;col=10&amp;number=&amp;sourceID=32","")</f>
        <v/>
      </c>
      <c r="K13" s="4" t="str">
        <f>HYPERLINK("http://141.218.60.56/~jnz1568/getInfo.php?workbook=10_02.xlsx&amp;sheet=A0&amp;row=13&amp;col=11&amp;number=&amp;sourceID=46","")</f>
        <v/>
      </c>
      <c r="L13" s="4" t="str">
        <f>HYPERLINK("http://141.218.60.56/~jnz1568/getInfo.php?workbook=10_02.xlsx&amp;sheet=A0&amp;row=13&amp;col=12&amp;number=&amp;sourceID=47","")</f>
        <v/>
      </c>
    </row>
    <row r="14" spans="1:12">
      <c r="A14" s="3">
        <v>10</v>
      </c>
      <c r="B14" s="3">
        <v>2</v>
      </c>
      <c r="C14" s="3">
        <v>6</v>
      </c>
      <c r="D14" s="3">
        <v>2</v>
      </c>
      <c r="E14" s="3">
        <f>((1/(INDEX(E0!J$4:J$52,C14,1)-INDEX(E0!J$4:J$52,D14,1))))*100000000</f>
        <v>0</v>
      </c>
      <c r="F14" s="4" t="str">
        <f>HYPERLINK("http://141.218.60.56/~jnz1568/getInfo.php?workbook=10_02.xlsx&amp;sheet=A0&amp;row=14&amp;col=6&amp;number=&amp;sourceID=27","")</f>
        <v/>
      </c>
      <c r="G14" s="4" t="str">
        <f>HYPERLINK("http://141.218.60.56/~jnz1568/getInfo.php?workbook=10_02.xlsx&amp;sheet=A0&amp;row=14&amp;col=7&amp;number=&amp;sourceID=32","")</f>
        <v/>
      </c>
      <c r="H14" s="4" t="str">
        <f>HYPERLINK("http://141.218.60.56/~jnz1568/getInfo.php?workbook=10_02.xlsx&amp;sheet=A0&amp;row=14&amp;col=8&amp;number=&amp;sourceID=32","")</f>
        <v/>
      </c>
      <c r="I14" s="4" t="str">
        <f>HYPERLINK("http://141.218.60.56/~jnz1568/getInfo.php?workbook=10_02.xlsx&amp;sheet=A0&amp;row=14&amp;col=9&amp;number=0.09149&amp;sourceID=32","0.09149")</f>
        <v>0.09149</v>
      </c>
      <c r="J14" s="4" t="str">
        <f>HYPERLINK("http://141.218.60.56/~jnz1568/getInfo.php?workbook=10_02.xlsx&amp;sheet=A0&amp;row=14&amp;col=10&amp;number=&amp;sourceID=32","")</f>
        <v/>
      </c>
      <c r="K14" s="4" t="str">
        <f>HYPERLINK("http://141.218.60.56/~jnz1568/getInfo.php?workbook=10_02.xlsx&amp;sheet=A0&amp;row=14&amp;col=11&amp;number=&amp;sourceID=46","")</f>
        <v/>
      </c>
      <c r="L14" s="4" t="str">
        <f>HYPERLINK("http://141.218.60.56/~jnz1568/getInfo.php?workbook=10_02.xlsx&amp;sheet=A0&amp;row=14&amp;col=12&amp;number=&amp;sourceID=47","")</f>
        <v/>
      </c>
    </row>
    <row r="15" spans="1:12">
      <c r="A15" s="3">
        <v>10</v>
      </c>
      <c r="B15" s="3">
        <v>2</v>
      </c>
      <c r="C15" s="3">
        <v>6</v>
      </c>
      <c r="D15" s="3">
        <v>4</v>
      </c>
      <c r="E15" s="3">
        <f>((1/(INDEX(E0!J$4:J$52,C15,1)-INDEX(E0!J$4:J$52,D15,1))))*100000000</f>
        <v>0</v>
      </c>
      <c r="F15" s="4" t="str">
        <f>HYPERLINK("http://141.218.60.56/~jnz1568/getInfo.php?workbook=10_02.xlsx&amp;sheet=A0&amp;row=15&amp;col=6&amp;number=&amp;sourceID=27","")</f>
        <v/>
      </c>
      <c r="G15" s="4" t="str">
        <f>HYPERLINK("http://141.218.60.56/~jnz1568/getInfo.php?workbook=10_02.xlsx&amp;sheet=A0&amp;row=15&amp;col=7&amp;number=24.91&amp;sourceID=32","24.91")</f>
        <v>24.91</v>
      </c>
      <c r="H15" s="4" t="str">
        <f>HYPERLINK("http://141.218.60.56/~jnz1568/getInfo.php?workbook=10_02.xlsx&amp;sheet=A0&amp;row=15&amp;col=8&amp;number=&amp;sourceID=32","")</f>
        <v/>
      </c>
      <c r="I15" s="4" t="str">
        <f>HYPERLINK("http://141.218.60.56/~jnz1568/getInfo.php?workbook=10_02.xlsx&amp;sheet=A0&amp;row=15&amp;col=9&amp;number=&amp;sourceID=32","")</f>
        <v/>
      </c>
      <c r="J15" s="4" t="str">
        <f>HYPERLINK("http://141.218.60.56/~jnz1568/getInfo.php?workbook=10_02.xlsx&amp;sheet=A0&amp;row=15&amp;col=10&amp;number=&amp;sourceID=32","")</f>
        <v/>
      </c>
      <c r="K15" s="4" t="str">
        <f>HYPERLINK("http://141.218.60.56/~jnz1568/getInfo.php?workbook=10_02.xlsx&amp;sheet=A0&amp;row=15&amp;col=11&amp;number=225.49&amp;sourceID=46","225.49")</f>
        <v>225.49</v>
      </c>
      <c r="L15" s="4" t="str">
        <f>HYPERLINK("http://141.218.60.56/~jnz1568/getInfo.php?workbook=10_02.xlsx&amp;sheet=A0&amp;row=15&amp;col=12&amp;number=&amp;sourceID=47","")</f>
        <v/>
      </c>
    </row>
    <row r="16" spans="1:12">
      <c r="A16" s="3">
        <v>10</v>
      </c>
      <c r="B16" s="3">
        <v>2</v>
      </c>
      <c r="C16" s="3">
        <v>6</v>
      </c>
      <c r="D16" s="3">
        <v>5</v>
      </c>
      <c r="E16" s="3">
        <f>((1/(INDEX(E0!J$4:J$52,C16,1)-INDEX(E0!J$4:J$52,D16,1))))*100000000</f>
        <v>0</v>
      </c>
      <c r="F16" s="4" t="str">
        <f>HYPERLINK("http://141.218.60.56/~jnz1568/getInfo.php?workbook=10_02.xlsx&amp;sheet=A0&amp;row=16&amp;col=6&amp;number=&amp;sourceID=27","")</f>
        <v/>
      </c>
      <c r="G16" s="4" t="str">
        <f>HYPERLINK("http://141.218.60.56/~jnz1568/getInfo.php?workbook=10_02.xlsx&amp;sheet=A0&amp;row=16&amp;col=7&amp;number=&amp;sourceID=32","")</f>
        <v/>
      </c>
      <c r="H16" s="4" t="str">
        <f>HYPERLINK("http://141.218.60.56/~jnz1568/getInfo.php?workbook=10_02.xlsx&amp;sheet=A0&amp;row=16&amp;col=8&amp;number=&amp;sourceID=32","")</f>
        <v/>
      </c>
      <c r="I16" s="4" t="str">
        <f>HYPERLINK("http://141.218.60.56/~jnz1568/getInfo.php?workbook=10_02.xlsx&amp;sheet=A0&amp;row=16&amp;col=9&amp;number=&amp;sourceID=32","")</f>
        <v/>
      </c>
      <c r="J16" s="4" t="str">
        <f>HYPERLINK("http://141.218.60.56/~jnz1568/getInfo.php?workbook=10_02.xlsx&amp;sheet=A0&amp;row=16&amp;col=10&amp;number=4.962e-10&amp;sourceID=32","4.962e-10")</f>
        <v>4.962e-10</v>
      </c>
      <c r="K16" s="4" t="str">
        <f>HYPERLINK("http://141.218.60.56/~jnz1568/getInfo.php?workbook=10_02.xlsx&amp;sheet=A0&amp;row=16&amp;col=11&amp;number=&amp;sourceID=46","")</f>
        <v/>
      </c>
      <c r="L16" s="4" t="str">
        <f>HYPERLINK("http://141.218.60.56/~jnz1568/getInfo.php?workbook=10_02.xlsx&amp;sheet=A0&amp;row=16&amp;col=12&amp;number=&amp;sourceID=47","")</f>
        <v/>
      </c>
    </row>
    <row r="17" spans="1:12">
      <c r="A17" s="3">
        <v>10</v>
      </c>
      <c r="B17" s="3">
        <v>2</v>
      </c>
      <c r="C17" s="3">
        <v>7</v>
      </c>
      <c r="D17" s="3">
        <v>1</v>
      </c>
      <c r="E17" s="3">
        <f>((1/(INDEX(E0!J$4:J$52,C17,1)-INDEX(E0!J$4:J$52,D17,1))))*100000000</f>
        <v>0</v>
      </c>
      <c r="F17" s="4" t="str">
        <f>HYPERLINK("http://141.218.60.56/~jnz1568/getInfo.php?workbook=10_02.xlsx&amp;sheet=A0&amp;row=17&amp;col=6&amp;number=&amp;sourceID=27","")</f>
        <v/>
      </c>
      <c r="G17" s="4" t="str">
        <f>HYPERLINK("http://141.218.60.56/~jnz1568/getInfo.php?workbook=10_02.xlsx&amp;sheet=A0&amp;row=17&amp;col=7&amp;number=8853000000000&amp;sourceID=32","8853000000000")</f>
        <v>8853000000000</v>
      </c>
      <c r="H17" s="4" t="str">
        <f>HYPERLINK("http://141.218.60.56/~jnz1568/getInfo.php?workbook=10_02.xlsx&amp;sheet=A0&amp;row=17&amp;col=8&amp;number=&amp;sourceID=32","")</f>
        <v/>
      </c>
      <c r="I17" s="4" t="str">
        <f>HYPERLINK("http://141.218.60.56/~jnz1568/getInfo.php?workbook=10_02.xlsx&amp;sheet=A0&amp;row=17&amp;col=9&amp;number=&amp;sourceID=32","")</f>
        <v/>
      </c>
      <c r="J17" s="4" t="str">
        <f>HYPERLINK("http://141.218.60.56/~jnz1568/getInfo.php?workbook=10_02.xlsx&amp;sheet=A0&amp;row=17&amp;col=10&amp;number=&amp;sourceID=32","")</f>
        <v/>
      </c>
      <c r="K17" s="4" t="str">
        <f>HYPERLINK("http://141.218.60.56/~jnz1568/getInfo.php?workbook=10_02.xlsx&amp;sheet=A0&amp;row=17&amp;col=11&amp;number=9151500000000&amp;sourceID=46","9151500000000")</f>
        <v>9151500000000</v>
      </c>
      <c r="L17" s="4" t="str">
        <f>HYPERLINK("http://141.218.60.56/~jnz1568/getInfo.php?workbook=10_02.xlsx&amp;sheet=A0&amp;row=17&amp;col=12&amp;number=9150000000000&amp;sourceID=47","9150000000000")</f>
        <v>9150000000000</v>
      </c>
    </row>
    <row r="18" spans="1:12">
      <c r="A18" s="3">
        <v>10</v>
      </c>
      <c r="B18" s="3">
        <v>2</v>
      </c>
      <c r="C18" s="3">
        <v>7</v>
      </c>
      <c r="D18" s="3">
        <v>2</v>
      </c>
      <c r="E18" s="3">
        <f>((1/(INDEX(E0!J$4:J$52,C18,1)-INDEX(E0!J$4:J$52,D18,1))))*100000000</f>
        <v>0</v>
      </c>
      <c r="F18" s="4" t="str">
        <f>HYPERLINK("http://141.218.60.56/~jnz1568/getInfo.php?workbook=10_02.xlsx&amp;sheet=A0&amp;row=18&amp;col=6&amp;number=&amp;sourceID=27","")</f>
        <v/>
      </c>
      <c r="G18" s="4" t="str">
        <f>HYPERLINK("http://141.218.60.56/~jnz1568/getInfo.php?workbook=10_02.xlsx&amp;sheet=A0&amp;row=18&amp;col=7&amp;number=325900&amp;sourceID=32","325900")</f>
        <v>325900</v>
      </c>
      <c r="H18" s="4" t="str">
        <f>HYPERLINK("http://141.218.60.56/~jnz1568/getInfo.php?workbook=10_02.xlsx&amp;sheet=A0&amp;row=18&amp;col=8&amp;number=&amp;sourceID=32","")</f>
        <v/>
      </c>
      <c r="I18" s="4" t="str">
        <f>HYPERLINK("http://141.218.60.56/~jnz1568/getInfo.php?workbook=10_02.xlsx&amp;sheet=A0&amp;row=18&amp;col=9&amp;number=&amp;sourceID=32","")</f>
        <v/>
      </c>
      <c r="J18" s="4" t="str">
        <f>HYPERLINK("http://141.218.60.56/~jnz1568/getInfo.php?workbook=10_02.xlsx&amp;sheet=A0&amp;row=18&amp;col=10&amp;number=0.08215&amp;sourceID=32","0.08215")</f>
        <v>0.08215</v>
      </c>
      <c r="K18" s="4" t="str">
        <f>HYPERLINK("http://141.218.60.56/~jnz1568/getInfo.php?workbook=10_02.xlsx&amp;sheet=A0&amp;row=18&amp;col=11&amp;number=289690&amp;sourceID=46","289690")</f>
        <v>289690</v>
      </c>
      <c r="L18" s="4" t="str">
        <f>HYPERLINK("http://141.218.60.56/~jnz1568/getInfo.php?workbook=10_02.xlsx&amp;sheet=A0&amp;row=18&amp;col=12&amp;number=&amp;sourceID=47","")</f>
        <v/>
      </c>
    </row>
    <row r="19" spans="1:12">
      <c r="A19" s="3">
        <v>10</v>
      </c>
      <c r="B19" s="3">
        <v>2</v>
      </c>
      <c r="C19" s="3">
        <v>7</v>
      </c>
      <c r="D19" s="3">
        <v>3</v>
      </c>
      <c r="E19" s="3">
        <f>((1/(INDEX(E0!J$4:J$52,C19,1)-INDEX(E0!J$4:J$52,D19,1))))*100000000</f>
        <v>0</v>
      </c>
      <c r="F19" s="4" t="str">
        <f>HYPERLINK("http://141.218.60.56/~jnz1568/getInfo.php?workbook=10_02.xlsx&amp;sheet=A0&amp;row=19&amp;col=6&amp;number=&amp;sourceID=27","")</f>
        <v/>
      </c>
      <c r="G19" s="4" t="str">
        <f>HYPERLINK("http://141.218.60.56/~jnz1568/getInfo.php?workbook=10_02.xlsx&amp;sheet=A0&amp;row=19&amp;col=7&amp;number=&amp;sourceID=32","")</f>
        <v/>
      </c>
      <c r="H19" s="4" t="str">
        <f>HYPERLINK("http://141.218.60.56/~jnz1568/getInfo.php?workbook=10_02.xlsx&amp;sheet=A0&amp;row=19&amp;col=8&amp;number=&amp;sourceID=32","")</f>
        <v/>
      </c>
      <c r="I19" s="4" t="str">
        <f>HYPERLINK("http://141.218.60.56/~jnz1568/getInfo.php?workbook=10_02.xlsx&amp;sheet=A0&amp;row=19&amp;col=9&amp;number=2.175&amp;sourceID=32","2.175")</f>
        <v>2.175</v>
      </c>
      <c r="J19" s="4" t="str">
        <f>HYPERLINK("http://141.218.60.56/~jnz1568/getInfo.php?workbook=10_02.xlsx&amp;sheet=A0&amp;row=19&amp;col=10&amp;number=&amp;sourceID=32","")</f>
        <v/>
      </c>
      <c r="K19" s="4" t="str">
        <f>HYPERLINK("http://141.218.60.56/~jnz1568/getInfo.php?workbook=10_02.xlsx&amp;sheet=A0&amp;row=19&amp;col=11&amp;number=2.1585&amp;sourceID=46","2.1585")</f>
        <v>2.1585</v>
      </c>
      <c r="L19" s="4" t="str">
        <f>HYPERLINK("http://141.218.60.56/~jnz1568/getInfo.php?workbook=10_02.xlsx&amp;sheet=A0&amp;row=19&amp;col=12&amp;number=&amp;sourceID=47","")</f>
        <v/>
      </c>
    </row>
    <row r="20" spans="1:12">
      <c r="A20" s="3">
        <v>10</v>
      </c>
      <c r="B20" s="3">
        <v>2</v>
      </c>
      <c r="C20" s="3">
        <v>7</v>
      </c>
      <c r="D20" s="3">
        <v>4</v>
      </c>
      <c r="E20" s="3">
        <f>((1/(INDEX(E0!J$4:J$52,C20,1)-INDEX(E0!J$4:J$52,D20,1))))*100000000</f>
        <v>0</v>
      </c>
      <c r="F20" s="4" t="str">
        <f>HYPERLINK("http://141.218.60.56/~jnz1568/getInfo.php?workbook=10_02.xlsx&amp;sheet=A0&amp;row=20&amp;col=6&amp;number=&amp;sourceID=27","")</f>
        <v/>
      </c>
      <c r="G20" s="4" t="str">
        <f>HYPERLINK("http://141.218.60.56/~jnz1568/getInfo.php?workbook=10_02.xlsx&amp;sheet=A0&amp;row=20&amp;col=7&amp;number=&amp;sourceID=32","")</f>
        <v/>
      </c>
      <c r="H20" s="4" t="str">
        <f>HYPERLINK("http://141.218.60.56/~jnz1568/getInfo.php?workbook=10_02.xlsx&amp;sheet=A0&amp;row=20&amp;col=8&amp;number=0.004993&amp;sourceID=32","0.004993")</f>
        <v>0.004993</v>
      </c>
      <c r="I20" s="4" t="str">
        <f>HYPERLINK("http://141.218.60.56/~jnz1568/getInfo.php?workbook=10_02.xlsx&amp;sheet=A0&amp;row=20&amp;col=9&amp;number=1.782&amp;sourceID=32","1.782")</f>
        <v>1.782</v>
      </c>
      <c r="J20" s="4" t="str">
        <f>HYPERLINK("http://141.218.60.56/~jnz1568/getInfo.php?workbook=10_02.xlsx&amp;sheet=A0&amp;row=20&amp;col=10&amp;number=&amp;sourceID=32","")</f>
        <v/>
      </c>
      <c r="K20" s="4" t="str">
        <f>HYPERLINK("http://141.218.60.56/~jnz1568/getInfo.php?workbook=10_02.xlsx&amp;sheet=A0&amp;row=20&amp;col=11&amp;number=1.7762&amp;sourceID=46","1.7762")</f>
        <v>1.7762</v>
      </c>
      <c r="L20" s="4" t="str">
        <f>HYPERLINK("http://141.218.60.56/~jnz1568/getInfo.php?workbook=10_02.xlsx&amp;sheet=A0&amp;row=20&amp;col=12&amp;number=&amp;sourceID=47","")</f>
        <v/>
      </c>
    </row>
    <row r="21" spans="1:12">
      <c r="A21" s="3">
        <v>10</v>
      </c>
      <c r="B21" s="3">
        <v>2</v>
      </c>
      <c r="C21" s="3">
        <v>7</v>
      </c>
      <c r="D21" s="3">
        <v>5</v>
      </c>
      <c r="E21" s="3">
        <f>((1/(INDEX(E0!J$4:J$52,C21,1)-INDEX(E0!J$4:J$52,D21,1))))*100000000</f>
        <v>0</v>
      </c>
      <c r="F21" s="4" t="str">
        <f>HYPERLINK("http://141.218.60.56/~jnz1568/getInfo.php?workbook=10_02.xlsx&amp;sheet=A0&amp;row=21&amp;col=6&amp;number=&amp;sourceID=27","")</f>
        <v/>
      </c>
      <c r="G21" s="4" t="str">
        <f>HYPERLINK("http://141.218.60.56/~jnz1568/getInfo.php?workbook=10_02.xlsx&amp;sheet=A0&amp;row=21&amp;col=7&amp;number=&amp;sourceID=32","")</f>
        <v/>
      </c>
      <c r="H21" s="4" t="str">
        <f>HYPERLINK("http://141.218.60.56/~jnz1568/getInfo.php?workbook=10_02.xlsx&amp;sheet=A0&amp;row=21&amp;col=8&amp;number=0.001478&amp;sourceID=32","0.001478")</f>
        <v>0.001478</v>
      </c>
      <c r="I21" s="4" t="str">
        <f>HYPERLINK("http://141.218.60.56/~jnz1568/getInfo.php?workbook=10_02.xlsx&amp;sheet=A0&amp;row=21&amp;col=9&amp;number=1.928&amp;sourceID=32","1.928")</f>
        <v>1.928</v>
      </c>
      <c r="J21" s="4" t="str">
        <f>HYPERLINK("http://141.218.60.56/~jnz1568/getInfo.php?workbook=10_02.xlsx&amp;sheet=A0&amp;row=21&amp;col=10&amp;number=&amp;sourceID=32","")</f>
        <v/>
      </c>
      <c r="K21" s="4" t="str">
        <f>HYPERLINK("http://141.218.60.56/~jnz1568/getInfo.php?workbook=10_02.xlsx&amp;sheet=A0&amp;row=21&amp;col=11&amp;number=1.8905&amp;sourceID=46","1.8905")</f>
        <v>1.8905</v>
      </c>
      <c r="L21" s="4" t="str">
        <f>HYPERLINK("http://141.218.60.56/~jnz1568/getInfo.php?workbook=10_02.xlsx&amp;sheet=A0&amp;row=21&amp;col=12&amp;number=&amp;sourceID=47","")</f>
        <v/>
      </c>
    </row>
    <row r="22" spans="1:12">
      <c r="A22" s="3">
        <v>10</v>
      </c>
      <c r="B22" s="3">
        <v>2</v>
      </c>
      <c r="C22" s="3">
        <v>7</v>
      </c>
      <c r="D22" s="3">
        <v>6</v>
      </c>
      <c r="E22" s="3">
        <f>((1/(INDEX(E0!J$4:J$52,C22,1)-INDEX(E0!J$4:J$52,D22,1))))*100000000</f>
        <v>0</v>
      </c>
      <c r="F22" s="4" t="str">
        <f>HYPERLINK("http://141.218.60.56/~jnz1568/getInfo.php?workbook=10_02.xlsx&amp;sheet=A0&amp;row=22&amp;col=6&amp;number=&amp;sourceID=27","")</f>
        <v/>
      </c>
      <c r="G22" s="4" t="str">
        <f>HYPERLINK("http://141.218.60.56/~jnz1568/getInfo.php?workbook=10_02.xlsx&amp;sheet=A0&amp;row=22&amp;col=7&amp;number=35440000&amp;sourceID=32","35440000")</f>
        <v>35440000</v>
      </c>
      <c r="H22" s="4" t="str">
        <f>HYPERLINK("http://141.218.60.56/~jnz1568/getInfo.php?workbook=10_02.xlsx&amp;sheet=A0&amp;row=22&amp;col=8&amp;number=&amp;sourceID=32","")</f>
        <v/>
      </c>
      <c r="I22" s="4" t="str">
        <f>HYPERLINK("http://141.218.60.56/~jnz1568/getInfo.php?workbook=10_02.xlsx&amp;sheet=A0&amp;row=22&amp;col=9&amp;number=&amp;sourceID=32","")</f>
        <v/>
      </c>
      <c r="J22" s="4" t="str">
        <f>HYPERLINK("http://141.218.60.56/~jnz1568/getInfo.php?workbook=10_02.xlsx&amp;sheet=A0&amp;row=22&amp;col=10&amp;number=&amp;sourceID=32","")</f>
        <v/>
      </c>
      <c r="K22" s="4" t="str">
        <f>HYPERLINK("http://141.218.60.56/~jnz1568/getInfo.php?workbook=10_02.xlsx&amp;sheet=A0&amp;row=22&amp;col=11&amp;number=36229000&amp;sourceID=46","36229000")</f>
        <v>36229000</v>
      </c>
      <c r="L22" s="4" t="str">
        <f>HYPERLINK("http://141.218.60.56/~jnz1568/getInfo.php?workbook=10_02.xlsx&amp;sheet=A0&amp;row=22&amp;col=12&amp;number=38800000&amp;sourceID=47","38800000")</f>
        <v>38800000</v>
      </c>
    </row>
    <row r="23" spans="1:12">
      <c r="A23" s="3">
        <v>10</v>
      </c>
      <c r="B23" s="3">
        <v>2</v>
      </c>
      <c r="C23" s="3">
        <v>8</v>
      </c>
      <c r="D23" s="3">
        <v>1</v>
      </c>
      <c r="E23" s="3">
        <f>((1/(INDEX(E0!J$4:J$52,C23,1)-INDEX(E0!J$4:J$52,D23,1))))*100000000</f>
        <v>0</v>
      </c>
      <c r="F23" s="4" t="str">
        <f>HYPERLINK("http://141.218.60.56/~jnz1568/getInfo.php?workbook=10_02.xlsx&amp;sheet=A0&amp;row=23&amp;col=6&amp;number=&amp;sourceID=27","")</f>
        <v/>
      </c>
      <c r="G23" s="4" t="str">
        <f>HYPERLINK("http://141.218.60.56/~jnz1568/getInfo.php?workbook=10_02.xlsx&amp;sheet=A0&amp;row=23&amp;col=7&amp;number=&amp;sourceID=32","")</f>
        <v/>
      </c>
      <c r="H23" s="4" t="str">
        <f>HYPERLINK("http://141.218.60.56/~jnz1568/getInfo.php?workbook=10_02.xlsx&amp;sheet=A0&amp;row=23&amp;col=8&amp;number=&amp;sourceID=32","")</f>
        <v/>
      </c>
      <c r="I23" s="4" t="str">
        <f>HYPERLINK("http://141.218.60.56/~jnz1568/getInfo.php?workbook=10_02.xlsx&amp;sheet=A0&amp;row=23&amp;col=9&amp;number=4614&amp;sourceID=32","4614")</f>
        <v>4614</v>
      </c>
      <c r="J23" s="4" t="str">
        <f>HYPERLINK("http://141.218.60.56/~jnz1568/getInfo.php?workbook=10_02.xlsx&amp;sheet=A0&amp;row=23&amp;col=10&amp;number=&amp;sourceID=32","")</f>
        <v/>
      </c>
      <c r="K23" s="4" t="str">
        <f>HYPERLINK("http://141.218.60.56/~jnz1568/getInfo.php?workbook=10_02.xlsx&amp;sheet=A0&amp;row=23&amp;col=11&amp;number=4045.7&amp;sourceID=46","4045.7")</f>
        <v>4045.7</v>
      </c>
      <c r="L23" s="4" t="str">
        <f>HYPERLINK("http://141.218.60.56/~jnz1568/getInfo.php?workbook=10_02.xlsx&amp;sheet=A0&amp;row=23&amp;col=12&amp;number=&amp;sourceID=47","")</f>
        <v/>
      </c>
    </row>
    <row r="24" spans="1:12">
      <c r="A24" s="3">
        <v>10</v>
      </c>
      <c r="B24" s="3">
        <v>2</v>
      </c>
      <c r="C24" s="3">
        <v>8</v>
      </c>
      <c r="D24" s="3">
        <v>2</v>
      </c>
      <c r="E24" s="3">
        <f>((1/(INDEX(E0!J$4:J$52,C24,1)-INDEX(E0!J$4:J$52,D24,1))))*100000000</f>
        <v>0</v>
      </c>
      <c r="F24" s="4" t="str">
        <f>HYPERLINK("http://141.218.60.56/~jnz1568/getInfo.php?workbook=10_02.xlsx&amp;sheet=A0&amp;row=24&amp;col=6&amp;number=&amp;sourceID=27","")</f>
        <v/>
      </c>
      <c r="G24" s="4" t="str">
        <f>HYPERLINK("http://141.218.60.56/~jnz1568/getInfo.php?workbook=10_02.xlsx&amp;sheet=A0&amp;row=24&amp;col=7&amp;number=&amp;sourceID=32","")</f>
        <v/>
      </c>
      <c r="H24" s="4" t="str">
        <f>HYPERLINK("http://141.218.60.56/~jnz1568/getInfo.php?workbook=10_02.xlsx&amp;sheet=A0&amp;row=24&amp;col=8&amp;number=1.53&amp;sourceID=32","1.53")</f>
        <v>1.53</v>
      </c>
      <c r="I24" s="4" t="str">
        <f>HYPERLINK("http://141.218.60.56/~jnz1568/getInfo.php?workbook=10_02.xlsx&amp;sheet=A0&amp;row=24&amp;col=9&amp;number=5.527&amp;sourceID=32","5.527")</f>
        <v>5.527</v>
      </c>
      <c r="J24" s="4" t="str">
        <f>HYPERLINK("http://141.218.60.56/~jnz1568/getInfo.php?workbook=10_02.xlsx&amp;sheet=A0&amp;row=24&amp;col=10&amp;number=&amp;sourceID=32","")</f>
        <v/>
      </c>
      <c r="K24" s="4" t="str">
        <f>HYPERLINK("http://141.218.60.56/~jnz1568/getInfo.php?workbook=10_02.xlsx&amp;sheet=A0&amp;row=24&amp;col=11&amp;number=7.5495&amp;sourceID=46","7.5495")</f>
        <v>7.5495</v>
      </c>
      <c r="L24" s="4" t="str">
        <f>HYPERLINK("http://141.218.60.56/~jnz1568/getInfo.php?workbook=10_02.xlsx&amp;sheet=A0&amp;row=24&amp;col=12&amp;number=&amp;sourceID=47","")</f>
        <v/>
      </c>
    </row>
    <row r="25" spans="1:12">
      <c r="A25" s="3">
        <v>10</v>
      </c>
      <c r="B25" s="3">
        <v>2</v>
      </c>
      <c r="C25" s="3">
        <v>8</v>
      </c>
      <c r="D25" s="3">
        <v>3</v>
      </c>
      <c r="E25" s="3">
        <f>((1/(INDEX(E0!J$4:J$52,C25,1)-INDEX(E0!J$4:J$52,D25,1))))*100000000</f>
        <v>0</v>
      </c>
      <c r="F25" s="4" t="str">
        <f>HYPERLINK("http://141.218.60.56/~jnz1568/getInfo.php?workbook=10_02.xlsx&amp;sheet=A0&amp;row=25&amp;col=6&amp;number=&amp;sourceID=27","")</f>
        <v/>
      </c>
      <c r="G25" s="4" t="str">
        <f>HYPERLINK("http://141.218.60.56/~jnz1568/getInfo.php?workbook=10_02.xlsx&amp;sheet=A0&amp;row=25&amp;col=7&amp;number=6380000000&amp;sourceID=32","6380000000")</f>
        <v>6380000000</v>
      </c>
      <c r="H25" s="4" t="str">
        <f>HYPERLINK("http://141.218.60.56/~jnz1568/getInfo.php?workbook=10_02.xlsx&amp;sheet=A0&amp;row=25&amp;col=8&amp;number=&amp;sourceID=32","")</f>
        <v/>
      </c>
      <c r="I25" s="4" t="str">
        <f>HYPERLINK("http://141.218.60.56/~jnz1568/getInfo.php?workbook=10_02.xlsx&amp;sheet=A0&amp;row=25&amp;col=9&amp;number=&amp;sourceID=32","")</f>
        <v/>
      </c>
      <c r="J25" s="4" t="str">
        <f>HYPERLINK("http://141.218.60.56/~jnz1568/getInfo.php?workbook=10_02.xlsx&amp;sheet=A0&amp;row=25&amp;col=10&amp;number=&amp;sourceID=32","")</f>
        <v/>
      </c>
      <c r="K25" s="4" t="str">
        <f>HYPERLINK("http://141.218.60.56/~jnz1568/getInfo.php?workbook=10_02.xlsx&amp;sheet=A0&amp;row=25&amp;col=11&amp;number=6303800000&amp;sourceID=46","6303800000")</f>
        <v>6303800000</v>
      </c>
      <c r="L25" s="4" t="str">
        <f>HYPERLINK("http://141.218.60.56/~jnz1568/getInfo.php?workbook=10_02.xlsx&amp;sheet=A0&amp;row=25&amp;col=12&amp;number=&amp;sourceID=47","")</f>
        <v/>
      </c>
    </row>
    <row r="26" spans="1:12">
      <c r="A26" s="3">
        <v>10</v>
      </c>
      <c r="B26" s="3">
        <v>2</v>
      </c>
      <c r="C26" s="3">
        <v>8</v>
      </c>
      <c r="D26" s="3">
        <v>4</v>
      </c>
      <c r="E26" s="3">
        <f>((1/(INDEX(E0!J$4:J$52,C26,1)-INDEX(E0!J$4:J$52,D26,1))))*100000000</f>
        <v>0</v>
      </c>
      <c r="F26" s="4" t="str">
        <f>HYPERLINK("http://141.218.60.56/~jnz1568/getInfo.php?workbook=10_02.xlsx&amp;sheet=A0&amp;row=26&amp;col=6&amp;number=&amp;sourceID=27","")</f>
        <v/>
      </c>
      <c r="G26" s="4" t="str">
        <f>HYPERLINK("http://141.218.60.56/~jnz1568/getInfo.php?workbook=10_02.xlsx&amp;sheet=A0&amp;row=26&amp;col=7&amp;number=19060000000&amp;sourceID=32","19060000000")</f>
        <v>19060000000</v>
      </c>
      <c r="H26" s="4" t="str">
        <f>HYPERLINK("http://141.218.60.56/~jnz1568/getInfo.php?workbook=10_02.xlsx&amp;sheet=A0&amp;row=26&amp;col=8&amp;number=&amp;sourceID=32","")</f>
        <v/>
      </c>
      <c r="I26" s="4" t="str">
        <f>HYPERLINK("http://141.218.60.56/~jnz1568/getInfo.php?workbook=10_02.xlsx&amp;sheet=A0&amp;row=26&amp;col=9&amp;number=&amp;sourceID=32","")</f>
        <v/>
      </c>
      <c r="J26" s="4" t="str">
        <f>HYPERLINK("http://141.218.60.56/~jnz1568/getInfo.php?workbook=10_02.xlsx&amp;sheet=A0&amp;row=26&amp;col=10&amp;number=101.6&amp;sourceID=32","101.6")</f>
        <v>101.6</v>
      </c>
      <c r="K26" s="4" t="str">
        <f>HYPERLINK("http://141.218.60.56/~jnz1568/getInfo.php?workbook=10_02.xlsx&amp;sheet=A0&amp;row=26&amp;col=11&amp;number=18749000000&amp;sourceID=46","18749000000")</f>
        <v>18749000000</v>
      </c>
      <c r="L26" s="4" t="str">
        <f>HYPERLINK("http://141.218.60.56/~jnz1568/getInfo.php?workbook=10_02.xlsx&amp;sheet=A0&amp;row=26&amp;col=12&amp;number=&amp;sourceID=47","")</f>
        <v/>
      </c>
    </row>
    <row r="27" spans="1:12">
      <c r="A27" s="3">
        <v>10</v>
      </c>
      <c r="B27" s="3">
        <v>2</v>
      </c>
      <c r="C27" s="3">
        <v>8</v>
      </c>
      <c r="D27" s="3">
        <v>5</v>
      </c>
      <c r="E27" s="3">
        <f>((1/(INDEX(E0!J$4:J$52,C27,1)-INDEX(E0!J$4:J$52,D27,1))))*100000000</f>
        <v>0</v>
      </c>
      <c r="F27" s="4" t="str">
        <f>HYPERLINK("http://141.218.60.56/~jnz1568/getInfo.php?workbook=10_02.xlsx&amp;sheet=A0&amp;row=27&amp;col=6&amp;number=&amp;sourceID=27","")</f>
        <v/>
      </c>
      <c r="G27" s="4" t="str">
        <f>HYPERLINK("http://141.218.60.56/~jnz1568/getInfo.php?workbook=10_02.xlsx&amp;sheet=A0&amp;row=27&amp;col=7&amp;number=31990000000&amp;sourceID=32","31990000000")</f>
        <v>31990000000</v>
      </c>
      <c r="H27" s="4" t="str">
        <f>HYPERLINK("http://141.218.60.56/~jnz1568/getInfo.php?workbook=10_02.xlsx&amp;sheet=A0&amp;row=27&amp;col=8&amp;number=&amp;sourceID=32","")</f>
        <v/>
      </c>
      <c r="I27" s="4" t="str">
        <f>HYPERLINK("http://141.218.60.56/~jnz1568/getInfo.php?workbook=10_02.xlsx&amp;sheet=A0&amp;row=27&amp;col=9&amp;number=&amp;sourceID=32","")</f>
        <v/>
      </c>
      <c r="J27" s="4" t="str">
        <f>HYPERLINK("http://141.218.60.56/~jnz1568/getInfo.php?workbook=10_02.xlsx&amp;sheet=A0&amp;row=27&amp;col=10&amp;number=327.4&amp;sourceID=32","327.4")</f>
        <v>327.4</v>
      </c>
      <c r="K27" s="4" t="str">
        <f>HYPERLINK("http://141.218.60.56/~jnz1568/getInfo.php?workbook=10_02.xlsx&amp;sheet=A0&amp;row=27&amp;col=11&amp;number=31160000000&amp;sourceID=46","31160000000")</f>
        <v>31160000000</v>
      </c>
      <c r="L27" s="4" t="str">
        <f>HYPERLINK("http://141.218.60.56/~jnz1568/getInfo.php?workbook=10_02.xlsx&amp;sheet=A0&amp;row=27&amp;col=12&amp;number=&amp;sourceID=47","")</f>
        <v/>
      </c>
    </row>
    <row r="28" spans="1:12">
      <c r="A28" s="3">
        <v>10</v>
      </c>
      <c r="B28" s="3">
        <v>2</v>
      </c>
      <c r="C28" s="3">
        <v>8</v>
      </c>
      <c r="D28" s="3">
        <v>6</v>
      </c>
      <c r="E28" s="3">
        <f>((1/(INDEX(E0!J$4:J$52,C28,1)-INDEX(E0!J$4:J$52,D28,1))))*100000000</f>
        <v>0</v>
      </c>
      <c r="F28" s="4" t="str">
        <f>HYPERLINK("http://141.218.60.56/~jnz1568/getInfo.php?workbook=10_02.xlsx&amp;sheet=A0&amp;row=28&amp;col=6&amp;number=&amp;sourceID=27","")</f>
        <v/>
      </c>
      <c r="G28" s="4" t="str">
        <f>HYPERLINK("http://141.218.60.56/~jnz1568/getInfo.php?workbook=10_02.xlsx&amp;sheet=A0&amp;row=28&amp;col=7&amp;number=&amp;sourceID=32","")</f>
        <v/>
      </c>
      <c r="H28" s="4" t="str">
        <f>HYPERLINK("http://141.218.60.56/~jnz1568/getInfo.php?workbook=10_02.xlsx&amp;sheet=A0&amp;row=28&amp;col=8&amp;number=&amp;sourceID=32","")</f>
        <v/>
      </c>
      <c r="I28" s="4" t="str">
        <f>HYPERLINK("http://141.218.60.56/~jnz1568/getInfo.php?workbook=10_02.xlsx&amp;sheet=A0&amp;row=28&amp;col=9&amp;number=3.89&amp;sourceID=32","3.89")</f>
        <v>3.89</v>
      </c>
      <c r="J28" s="4" t="str">
        <f>HYPERLINK("http://141.218.60.56/~jnz1568/getInfo.php?workbook=10_02.xlsx&amp;sheet=A0&amp;row=28&amp;col=10&amp;number=&amp;sourceID=32","")</f>
        <v/>
      </c>
      <c r="K28" s="4" t="str">
        <f>HYPERLINK("http://141.218.60.56/~jnz1568/getInfo.php?workbook=10_02.xlsx&amp;sheet=A0&amp;row=28&amp;col=11&amp;number=3.6764&amp;sourceID=46","3.6764")</f>
        <v>3.6764</v>
      </c>
      <c r="L28" s="4" t="str">
        <f>HYPERLINK("http://141.218.60.56/~jnz1568/getInfo.php?workbook=10_02.xlsx&amp;sheet=A0&amp;row=28&amp;col=12&amp;number=&amp;sourceID=47","")</f>
        <v/>
      </c>
    </row>
    <row r="29" spans="1:12">
      <c r="A29" s="3">
        <v>10</v>
      </c>
      <c r="B29" s="3">
        <v>2</v>
      </c>
      <c r="C29" s="3">
        <v>8</v>
      </c>
      <c r="D29" s="3">
        <v>7</v>
      </c>
      <c r="E29" s="3">
        <f>((1/(INDEX(E0!J$4:J$52,C29,1)-INDEX(E0!J$4:J$52,D29,1))))*100000000</f>
        <v>0</v>
      </c>
      <c r="F29" s="4" t="str">
        <f>HYPERLINK("http://141.218.60.56/~jnz1568/getInfo.php?workbook=10_02.xlsx&amp;sheet=A0&amp;row=29&amp;col=6&amp;number=&amp;sourceID=27","")</f>
        <v/>
      </c>
      <c r="G29" s="4" t="str">
        <f>HYPERLINK("http://141.218.60.56/~jnz1568/getInfo.php?workbook=10_02.xlsx&amp;sheet=A0&amp;row=29&amp;col=7&amp;number=12720000&amp;sourceID=32","12720000")</f>
        <v>12720000</v>
      </c>
      <c r="H29" s="4" t="str">
        <f>HYPERLINK("http://141.218.60.56/~jnz1568/getInfo.php?workbook=10_02.xlsx&amp;sheet=A0&amp;row=29&amp;col=8&amp;number=&amp;sourceID=32","")</f>
        <v/>
      </c>
      <c r="I29" s="4" t="str">
        <f>HYPERLINK("http://141.218.60.56/~jnz1568/getInfo.php?workbook=10_02.xlsx&amp;sheet=A0&amp;row=29&amp;col=9&amp;number=&amp;sourceID=32","")</f>
        <v/>
      </c>
      <c r="J29" s="4" t="str">
        <f>HYPERLINK("http://141.218.60.56/~jnz1568/getInfo.php?workbook=10_02.xlsx&amp;sheet=A0&amp;row=29&amp;col=10&amp;number=240.4&amp;sourceID=32","240.4")</f>
        <v>240.4</v>
      </c>
      <c r="K29" s="4" t="str">
        <f>HYPERLINK("http://141.218.60.56/~jnz1568/getInfo.php?workbook=10_02.xlsx&amp;sheet=A0&amp;row=29&amp;col=11&amp;number=7018800&amp;sourceID=46","7018800")</f>
        <v>7018800</v>
      </c>
      <c r="L29" s="4" t="str">
        <f>HYPERLINK("http://141.218.60.56/~jnz1568/getInfo.php?workbook=10_02.xlsx&amp;sheet=A0&amp;row=29&amp;col=12&amp;number=&amp;sourceID=47","")</f>
        <v/>
      </c>
    </row>
    <row r="30" spans="1:12">
      <c r="A30" s="3">
        <v>10</v>
      </c>
      <c r="B30" s="3">
        <v>2</v>
      </c>
      <c r="C30" s="3">
        <v>9</v>
      </c>
      <c r="D30" s="3">
        <v>2</v>
      </c>
      <c r="E30" s="3">
        <f>((1/(INDEX(E0!J$4:J$52,C30,1)-INDEX(E0!J$4:J$52,D30,1))))*100000000</f>
        <v>0</v>
      </c>
      <c r="F30" s="4" t="str">
        <f>HYPERLINK("http://141.218.60.56/~jnz1568/getInfo.php?workbook=10_02.xlsx&amp;sheet=A0&amp;row=30&amp;col=6&amp;number=&amp;sourceID=27","")</f>
        <v/>
      </c>
      <c r="G30" s="4" t="str">
        <f>HYPERLINK("http://141.218.60.56/~jnz1568/getInfo.php?workbook=10_02.xlsx&amp;sheet=A0&amp;row=30&amp;col=7&amp;number=146500000000&amp;sourceID=32","146500000000")</f>
        <v>146500000000</v>
      </c>
      <c r="H30" s="4" t="str">
        <f>HYPERLINK("http://141.218.60.56/~jnz1568/getInfo.php?workbook=10_02.xlsx&amp;sheet=A0&amp;row=30&amp;col=8&amp;number=&amp;sourceID=32","")</f>
        <v/>
      </c>
      <c r="I30" s="4" t="str">
        <f>HYPERLINK("http://141.218.60.56/~jnz1568/getInfo.php?workbook=10_02.xlsx&amp;sheet=A0&amp;row=30&amp;col=9&amp;number=&amp;sourceID=32","")</f>
        <v/>
      </c>
      <c r="J30" s="4" t="str">
        <f>HYPERLINK("http://141.218.60.56/~jnz1568/getInfo.php?workbook=10_02.xlsx&amp;sheet=A0&amp;row=30&amp;col=10&amp;number=&amp;sourceID=32","")</f>
        <v/>
      </c>
      <c r="K30" s="4" t="str">
        <f>HYPERLINK("http://141.218.60.56/~jnz1568/getInfo.php?workbook=10_02.xlsx&amp;sheet=A0&amp;row=30&amp;col=11&amp;number=145950000000&amp;sourceID=46","145950000000")</f>
        <v>145950000000</v>
      </c>
      <c r="L30" s="4" t="str">
        <f>HYPERLINK("http://141.218.60.56/~jnz1568/getInfo.php?workbook=10_02.xlsx&amp;sheet=A0&amp;row=30&amp;col=12&amp;number=143000000000&amp;sourceID=47","143000000000")</f>
        <v>143000000000</v>
      </c>
    </row>
    <row r="31" spans="1:12">
      <c r="A31" s="3">
        <v>10</v>
      </c>
      <c r="B31" s="3">
        <v>2</v>
      </c>
      <c r="C31" s="3">
        <v>9</v>
      </c>
      <c r="D31" s="3">
        <v>4</v>
      </c>
      <c r="E31" s="3">
        <f>((1/(INDEX(E0!J$4:J$52,C31,1)-INDEX(E0!J$4:J$52,D31,1))))*100000000</f>
        <v>0</v>
      </c>
      <c r="F31" s="4" t="str">
        <f>HYPERLINK("http://141.218.60.56/~jnz1568/getInfo.php?workbook=10_02.xlsx&amp;sheet=A0&amp;row=31&amp;col=6&amp;number=&amp;sourceID=27","")</f>
        <v/>
      </c>
      <c r="G31" s="4" t="str">
        <f>HYPERLINK("http://141.218.60.56/~jnz1568/getInfo.php?workbook=10_02.xlsx&amp;sheet=A0&amp;row=31&amp;col=7&amp;number=&amp;sourceID=32","")</f>
        <v/>
      </c>
      <c r="H31" s="4" t="str">
        <f>HYPERLINK("http://141.218.60.56/~jnz1568/getInfo.php?workbook=10_02.xlsx&amp;sheet=A0&amp;row=31&amp;col=8&amp;number=&amp;sourceID=32","")</f>
        <v/>
      </c>
      <c r="I31" s="4" t="str">
        <f>HYPERLINK("http://141.218.60.56/~jnz1568/getInfo.php?workbook=10_02.xlsx&amp;sheet=A0&amp;row=31&amp;col=9&amp;number=0.3018&amp;sourceID=32","0.3018")</f>
        <v>0.3018</v>
      </c>
      <c r="J31" s="4" t="str">
        <f>HYPERLINK("http://141.218.60.56/~jnz1568/getInfo.php?workbook=10_02.xlsx&amp;sheet=A0&amp;row=31&amp;col=10&amp;number=&amp;sourceID=32","")</f>
        <v/>
      </c>
      <c r="K31" s="4" t="str">
        <f>HYPERLINK("http://141.218.60.56/~jnz1568/getInfo.php?workbook=10_02.xlsx&amp;sheet=A0&amp;row=31&amp;col=11&amp;number=1.5649&amp;sourceID=46","1.5649")</f>
        <v>1.5649</v>
      </c>
      <c r="L31" s="4" t="str">
        <f>HYPERLINK("http://141.218.60.56/~jnz1568/getInfo.php?workbook=10_02.xlsx&amp;sheet=A0&amp;row=31&amp;col=12&amp;number=&amp;sourceID=47","")</f>
        <v/>
      </c>
    </row>
    <row r="32" spans="1:12">
      <c r="A32" s="3">
        <v>10</v>
      </c>
      <c r="B32" s="3">
        <v>2</v>
      </c>
      <c r="C32" s="3">
        <v>9</v>
      </c>
      <c r="D32" s="3">
        <v>5</v>
      </c>
      <c r="E32" s="3">
        <f>((1/(INDEX(E0!J$4:J$52,C32,1)-INDEX(E0!J$4:J$52,D32,1))))*100000000</f>
        <v>0</v>
      </c>
      <c r="F32" s="4" t="str">
        <f>HYPERLINK("http://141.218.60.56/~jnz1568/getInfo.php?workbook=10_02.xlsx&amp;sheet=A0&amp;row=32&amp;col=6&amp;number=&amp;sourceID=27","")</f>
        <v/>
      </c>
      <c r="G32" s="4" t="str">
        <f>HYPERLINK("http://141.218.60.56/~jnz1568/getInfo.php?workbook=10_02.xlsx&amp;sheet=A0&amp;row=32&amp;col=7&amp;number=&amp;sourceID=32","")</f>
        <v/>
      </c>
      <c r="H32" s="4" t="str">
        <f>HYPERLINK("http://141.218.60.56/~jnz1568/getInfo.php?workbook=10_02.xlsx&amp;sheet=A0&amp;row=32&amp;col=8&amp;number=13360000&amp;sourceID=32","13360000")</f>
        <v>13360000</v>
      </c>
      <c r="I32" s="4" t="str">
        <f>HYPERLINK("http://141.218.60.56/~jnz1568/getInfo.php?workbook=10_02.xlsx&amp;sheet=A0&amp;row=32&amp;col=9&amp;number=&amp;sourceID=32","")</f>
        <v/>
      </c>
      <c r="J32" s="4" t="str">
        <f>HYPERLINK("http://141.218.60.56/~jnz1568/getInfo.php?workbook=10_02.xlsx&amp;sheet=A0&amp;row=32&amp;col=10&amp;number=&amp;sourceID=32","")</f>
        <v/>
      </c>
      <c r="K32" s="4" t="str">
        <f>HYPERLINK("http://141.218.60.56/~jnz1568/getInfo.php?workbook=10_02.xlsx&amp;sheet=A0&amp;row=32&amp;col=11&amp;number=13277000&amp;sourceID=46","13277000")</f>
        <v>13277000</v>
      </c>
      <c r="L32" s="4" t="str">
        <f>HYPERLINK("http://141.218.60.56/~jnz1568/getInfo.php?workbook=10_02.xlsx&amp;sheet=A0&amp;row=32&amp;col=12&amp;number=&amp;sourceID=47","")</f>
        <v/>
      </c>
    </row>
    <row r="33" spans="1:12">
      <c r="A33" s="3">
        <v>10</v>
      </c>
      <c r="B33" s="3">
        <v>2</v>
      </c>
      <c r="C33" s="3">
        <v>9</v>
      </c>
      <c r="D33" s="3">
        <v>7</v>
      </c>
      <c r="E33" s="3">
        <f>((1/(INDEX(E0!J$4:J$52,C33,1)-INDEX(E0!J$4:J$52,D33,1))))*100000000</f>
        <v>0</v>
      </c>
      <c r="F33" s="4" t="str">
        <f>HYPERLINK("http://141.218.60.56/~jnz1568/getInfo.php?workbook=10_02.xlsx&amp;sheet=A0&amp;row=33&amp;col=6&amp;number=&amp;sourceID=27","")</f>
        <v/>
      </c>
      <c r="G33" s="4" t="str">
        <f>HYPERLINK("http://141.218.60.56/~jnz1568/getInfo.php?workbook=10_02.xlsx&amp;sheet=A0&amp;row=33&amp;col=7&amp;number=&amp;sourceID=32","")</f>
        <v/>
      </c>
      <c r="H33" s="4" t="str">
        <f>HYPERLINK("http://141.218.60.56/~jnz1568/getInfo.php?workbook=10_02.xlsx&amp;sheet=A0&amp;row=33&amp;col=8&amp;number=&amp;sourceID=32","")</f>
        <v/>
      </c>
      <c r="I33" s="4" t="str">
        <f>HYPERLINK("http://141.218.60.56/~jnz1568/getInfo.php?workbook=10_02.xlsx&amp;sheet=A0&amp;row=33&amp;col=9&amp;number=55.08&amp;sourceID=32","55.08")</f>
        <v>55.08</v>
      </c>
      <c r="J33" s="4" t="str">
        <f>HYPERLINK("http://141.218.60.56/~jnz1568/getInfo.php?workbook=10_02.xlsx&amp;sheet=A0&amp;row=33&amp;col=10&amp;number=&amp;sourceID=32","")</f>
        <v/>
      </c>
      <c r="K33" s="4" t="str">
        <f>HYPERLINK("http://141.218.60.56/~jnz1568/getInfo.php?workbook=10_02.xlsx&amp;sheet=A0&amp;row=33&amp;col=11&amp;number=45.292&amp;sourceID=46","45.292")</f>
        <v>45.292</v>
      </c>
      <c r="L33" s="4" t="str">
        <f>HYPERLINK("http://141.218.60.56/~jnz1568/getInfo.php?workbook=10_02.xlsx&amp;sheet=A0&amp;row=33&amp;col=12&amp;number=&amp;sourceID=47","")</f>
        <v/>
      </c>
    </row>
    <row r="34" spans="1:12">
      <c r="A34" s="3">
        <v>10</v>
      </c>
      <c r="B34" s="3">
        <v>2</v>
      </c>
      <c r="C34" s="3">
        <v>9</v>
      </c>
      <c r="D34" s="3">
        <v>8</v>
      </c>
      <c r="E34" s="3">
        <f>((1/(INDEX(E0!J$4:J$52,C34,1)-INDEX(E0!J$4:J$52,D34,1))))*100000000</f>
        <v>0</v>
      </c>
      <c r="F34" s="4" t="str">
        <f>HYPERLINK("http://141.218.60.56/~jnz1568/getInfo.php?workbook=10_02.xlsx&amp;sheet=A0&amp;row=34&amp;col=6&amp;number=&amp;sourceID=27","")</f>
        <v/>
      </c>
      <c r="G34" s="4" t="str">
        <f>HYPERLINK("http://141.218.60.56/~jnz1568/getInfo.php?workbook=10_02.xlsx&amp;sheet=A0&amp;row=34&amp;col=7&amp;number=12910000&amp;sourceID=32","12910000")</f>
        <v>12910000</v>
      </c>
      <c r="H34" s="4" t="str">
        <f>HYPERLINK("http://141.218.60.56/~jnz1568/getInfo.php?workbook=10_02.xlsx&amp;sheet=A0&amp;row=34&amp;col=8&amp;number=&amp;sourceID=32","")</f>
        <v/>
      </c>
      <c r="I34" s="4" t="str">
        <f>HYPERLINK("http://141.218.60.56/~jnz1568/getInfo.php?workbook=10_02.xlsx&amp;sheet=A0&amp;row=34&amp;col=9&amp;number=&amp;sourceID=32","")</f>
        <v/>
      </c>
      <c r="J34" s="4" t="str">
        <f>HYPERLINK("http://141.218.60.56/~jnz1568/getInfo.php?workbook=10_02.xlsx&amp;sheet=A0&amp;row=34&amp;col=10&amp;number=&amp;sourceID=32","")</f>
        <v/>
      </c>
      <c r="K34" s="4" t="str">
        <f>HYPERLINK("http://141.218.60.56/~jnz1568/getInfo.php?workbook=10_02.xlsx&amp;sheet=A0&amp;row=34&amp;col=11&amp;number=12572000&amp;sourceID=46","12572000")</f>
        <v>12572000</v>
      </c>
      <c r="L34" s="4" t="str">
        <f>HYPERLINK("http://141.218.60.56/~jnz1568/getInfo.php?workbook=10_02.xlsx&amp;sheet=A0&amp;row=34&amp;col=12&amp;number=&amp;sourceID=47","")</f>
        <v/>
      </c>
    </row>
    <row r="35" spans="1:12">
      <c r="A35" s="3">
        <v>10</v>
      </c>
      <c r="B35" s="3">
        <v>2</v>
      </c>
      <c r="C35" s="3">
        <v>10</v>
      </c>
      <c r="D35" s="3">
        <v>1</v>
      </c>
      <c r="E35" s="3">
        <f>((1/(INDEX(E0!J$4:J$52,C35,1)-INDEX(E0!J$4:J$52,D35,1))))*100000000</f>
        <v>0</v>
      </c>
      <c r="F35" s="4" t="str">
        <f>HYPERLINK("http://141.218.60.56/~jnz1568/getInfo.php?workbook=10_02.xlsx&amp;sheet=A0&amp;row=35&amp;col=6&amp;number=&amp;sourceID=27","")</f>
        <v/>
      </c>
      <c r="G35" s="4" t="str">
        <f>HYPERLINK("http://141.218.60.56/~jnz1568/getInfo.php?workbook=10_02.xlsx&amp;sheet=A0&amp;row=35&amp;col=7&amp;number=1605000000&amp;sourceID=32","1605000000")</f>
        <v>1605000000</v>
      </c>
      <c r="H35" s="4" t="str">
        <f>HYPERLINK("http://141.218.60.56/~jnz1568/getInfo.php?workbook=10_02.xlsx&amp;sheet=A0&amp;row=35&amp;col=8&amp;number=&amp;sourceID=32","")</f>
        <v/>
      </c>
      <c r="I35" s="4" t="str">
        <f>HYPERLINK("http://141.218.60.56/~jnz1568/getInfo.php?workbook=10_02.xlsx&amp;sheet=A0&amp;row=35&amp;col=9&amp;number=&amp;sourceID=32","")</f>
        <v/>
      </c>
      <c r="J35" s="4" t="str">
        <f>HYPERLINK("http://141.218.60.56/~jnz1568/getInfo.php?workbook=10_02.xlsx&amp;sheet=A0&amp;row=35&amp;col=10&amp;number=&amp;sourceID=32","")</f>
        <v/>
      </c>
      <c r="K35" s="4" t="str">
        <f>HYPERLINK("http://141.218.60.56/~jnz1568/getInfo.php?workbook=10_02.xlsx&amp;sheet=A0&amp;row=35&amp;col=11&amp;number=1530800000&amp;sourceID=46","1530800000")</f>
        <v>1530800000</v>
      </c>
      <c r="L35" s="4" t="str">
        <f>HYPERLINK("http://141.218.60.56/~jnz1568/getInfo.php?workbook=10_02.xlsx&amp;sheet=A0&amp;row=35&amp;col=12&amp;number=&amp;sourceID=47","")</f>
        <v/>
      </c>
    </row>
    <row r="36" spans="1:12">
      <c r="A36" s="3">
        <v>10</v>
      </c>
      <c r="B36" s="3">
        <v>2</v>
      </c>
      <c r="C36" s="3">
        <v>10</v>
      </c>
      <c r="D36" s="3">
        <v>2</v>
      </c>
      <c r="E36" s="3">
        <f>((1/(INDEX(E0!J$4:J$52,C36,1)-INDEX(E0!J$4:J$52,D36,1))))*100000000</f>
        <v>0</v>
      </c>
      <c r="F36" s="4" t="str">
        <f>HYPERLINK("http://141.218.60.56/~jnz1568/getInfo.php?workbook=10_02.xlsx&amp;sheet=A0&amp;row=36&amp;col=6&amp;number=&amp;sourceID=27","")</f>
        <v/>
      </c>
      <c r="G36" s="4" t="str">
        <f>HYPERLINK("http://141.218.60.56/~jnz1568/getInfo.php?workbook=10_02.xlsx&amp;sheet=A0&amp;row=36&amp;col=7&amp;number=146300000000&amp;sourceID=32","146300000000")</f>
        <v>146300000000</v>
      </c>
      <c r="H36" s="4" t="str">
        <f>HYPERLINK("http://141.218.60.56/~jnz1568/getInfo.php?workbook=10_02.xlsx&amp;sheet=A0&amp;row=36&amp;col=8&amp;number=&amp;sourceID=32","")</f>
        <v/>
      </c>
      <c r="I36" s="4" t="str">
        <f>HYPERLINK("http://141.218.60.56/~jnz1568/getInfo.php?workbook=10_02.xlsx&amp;sheet=A0&amp;row=36&amp;col=9&amp;number=&amp;sourceID=32","")</f>
        <v/>
      </c>
      <c r="J36" s="4" t="str">
        <f>HYPERLINK("http://141.218.60.56/~jnz1568/getInfo.php?workbook=10_02.xlsx&amp;sheet=A0&amp;row=36&amp;col=10&amp;number=905.3&amp;sourceID=32","905.3")</f>
        <v>905.3</v>
      </c>
      <c r="K36" s="4" t="str">
        <f>HYPERLINK("http://141.218.60.56/~jnz1568/getInfo.php?workbook=10_02.xlsx&amp;sheet=A0&amp;row=36&amp;col=11&amp;number=145560000000&amp;sourceID=46","145560000000")</f>
        <v>145560000000</v>
      </c>
      <c r="L36" s="4" t="str">
        <f>HYPERLINK("http://141.218.60.56/~jnz1568/getInfo.php?workbook=10_02.xlsx&amp;sheet=A0&amp;row=36&amp;col=12&amp;number=143000000000&amp;sourceID=47","143000000000")</f>
        <v>143000000000</v>
      </c>
    </row>
    <row r="37" spans="1:12">
      <c r="A37" s="3">
        <v>10</v>
      </c>
      <c r="B37" s="3">
        <v>2</v>
      </c>
      <c r="C37" s="3">
        <v>10</v>
      </c>
      <c r="D37" s="3">
        <v>3</v>
      </c>
      <c r="E37" s="3">
        <f>((1/(INDEX(E0!J$4:J$52,C37,1)-INDEX(E0!J$4:J$52,D37,1))))*100000000</f>
        <v>0</v>
      </c>
      <c r="F37" s="4" t="str">
        <f>HYPERLINK("http://141.218.60.56/~jnz1568/getInfo.php?workbook=10_02.xlsx&amp;sheet=A0&amp;row=37&amp;col=6&amp;number=&amp;sourceID=27","")</f>
        <v/>
      </c>
      <c r="G37" s="4" t="str">
        <f>HYPERLINK("http://141.218.60.56/~jnz1568/getInfo.php?workbook=10_02.xlsx&amp;sheet=A0&amp;row=37&amp;col=7&amp;number=&amp;sourceID=32","")</f>
        <v/>
      </c>
      <c r="H37" s="4" t="str">
        <f>HYPERLINK("http://141.218.60.56/~jnz1568/getInfo.php?workbook=10_02.xlsx&amp;sheet=A0&amp;row=37&amp;col=8&amp;number=&amp;sourceID=32","")</f>
        <v/>
      </c>
      <c r="I37" s="4" t="str">
        <f>HYPERLINK("http://141.218.60.56/~jnz1568/getInfo.php?workbook=10_02.xlsx&amp;sheet=A0&amp;row=37&amp;col=9&amp;number=1.663&amp;sourceID=32","1.663")</f>
        <v>1.663</v>
      </c>
      <c r="J37" s="4" t="str">
        <f>HYPERLINK("http://141.218.60.56/~jnz1568/getInfo.php?workbook=10_02.xlsx&amp;sheet=A0&amp;row=37&amp;col=10&amp;number=&amp;sourceID=32","")</f>
        <v/>
      </c>
      <c r="K37" s="4" t="str">
        <f>HYPERLINK("http://141.218.60.56/~jnz1568/getInfo.php?workbook=10_02.xlsx&amp;sheet=A0&amp;row=37&amp;col=11&amp;number=1.8316&amp;sourceID=46","1.8316")</f>
        <v>1.8316</v>
      </c>
      <c r="L37" s="4" t="str">
        <f>HYPERLINK("http://141.218.60.56/~jnz1568/getInfo.php?workbook=10_02.xlsx&amp;sheet=A0&amp;row=37&amp;col=12&amp;number=&amp;sourceID=47","")</f>
        <v/>
      </c>
    </row>
    <row r="38" spans="1:12">
      <c r="A38" s="3">
        <v>10</v>
      </c>
      <c r="B38" s="3">
        <v>2</v>
      </c>
      <c r="C38" s="3">
        <v>10</v>
      </c>
      <c r="D38" s="3">
        <v>4</v>
      </c>
      <c r="E38" s="3">
        <f>((1/(INDEX(E0!J$4:J$52,C38,1)-INDEX(E0!J$4:J$52,D38,1))))*100000000</f>
        <v>0</v>
      </c>
      <c r="F38" s="4" t="str">
        <f>HYPERLINK("http://141.218.60.56/~jnz1568/getInfo.php?workbook=10_02.xlsx&amp;sheet=A0&amp;row=38&amp;col=6&amp;number=&amp;sourceID=27","")</f>
        <v/>
      </c>
      <c r="G38" s="4" t="str">
        <f>HYPERLINK("http://141.218.60.56/~jnz1568/getInfo.php?workbook=10_02.xlsx&amp;sheet=A0&amp;row=38&amp;col=7&amp;number=&amp;sourceID=32","")</f>
        <v/>
      </c>
      <c r="H38" s="4" t="str">
        <f>HYPERLINK("http://141.218.60.56/~jnz1568/getInfo.php?workbook=10_02.xlsx&amp;sheet=A0&amp;row=38&amp;col=8&amp;number=3332000&amp;sourceID=32","3332000")</f>
        <v>3332000</v>
      </c>
      <c r="I38" s="4" t="str">
        <f>HYPERLINK("http://141.218.60.56/~jnz1568/getInfo.php?workbook=10_02.xlsx&amp;sheet=A0&amp;row=38&amp;col=9&amp;number=5.104&amp;sourceID=32","5.104")</f>
        <v>5.104</v>
      </c>
      <c r="J38" s="4" t="str">
        <f>HYPERLINK("http://141.218.60.56/~jnz1568/getInfo.php?workbook=10_02.xlsx&amp;sheet=A0&amp;row=38&amp;col=10&amp;number=&amp;sourceID=32","")</f>
        <v/>
      </c>
      <c r="K38" s="4" t="str">
        <f>HYPERLINK("http://141.218.60.56/~jnz1568/getInfo.php?workbook=10_02.xlsx&amp;sheet=A0&amp;row=38&amp;col=11&amp;number=3322600&amp;sourceID=46","3322600")</f>
        <v>3322600</v>
      </c>
      <c r="L38" s="4" t="str">
        <f>HYPERLINK("http://141.218.60.56/~jnz1568/getInfo.php?workbook=10_02.xlsx&amp;sheet=A0&amp;row=38&amp;col=12&amp;number=&amp;sourceID=47","")</f>
        <v/>
      </c>
    </row>
    <row r="39" spans="1:12">
      <c r="A39" s="3">
        <v>10</v>
      </c>
      <c r="B39" s="3">
        <v>2</v>
      </c>
      <c r="C39" s="3">
        <v>10</v>
      </c>
      <c r="D39" s="3">
        <v>5</v>
      </c>
      <c r="E39" s="3">
        <f>((1/(INDEX(E0!J$4:J$52,C39,1)-INDEX(E0!J$4:J$52,D39,1))))*100000000</f>
        <v>0</v>
      </c>
      <c r="F39" s="4" t="str">
        <f>HYPERLINK("http://141.218.60.56/~jnz1568/getInfo.php?workbook=10_02.xlsx&amp;sheet=A0&amp;row=39&amp;col=6&amp;number=&amp;sourceID=27","")</f>
        <v/>
      </c>
      <c r="G39" s="4" t="str">
        <f>HYPERLINK("http://141.218.60.56/~jnz1568/getInfo.php?workbook=10_02.xlsx&amp;sheet=A0&amp;row=39&amp;col=7&amp;number=&amp;sourceID=32","")</f>
        <v/>
      </c>
      <c r="H39" s="4" t="str">
        <f>HYPERLINK("http://141.218.60.56/~jnz1568/getInfo.php?workbook=10_02.xlsx&amp;sheet=A0&amp;row=39&amp;col=8&amp;number=10010000&amp;sourceID=32","10010000")</f>
        <v>10010000</v>
      </c>
      <c r="I39" s="4" t="str">
        <f>HYPERLINK("http://141.218.60.56/~jnz1568/getInfo.php?workbook=10_02.xlsx&amp;sheet=A0&amp;row=39&amp;col=9&amp;number=16.1&amp;sourceID=32","16.1")</f>
        <v>16.1</v>
      </c>
      <c r="J39" s="4" t="str">
        <f>HYPERLINK("http://141.218.60.56/~jnz1568/getInfo.php?workbook=10_02.xlsx&amp;sheet=A0&amp;row=39&amp;col=10&amp;number=&amp;sourceID=32","")</f>
        <v/>
      </c>
      <c r="K39" s="4" t="str">
        <f>HYPERLINK("http://141.218.60.56/~jnz1568/getInfo.php?workbook=10_02.xlsx&amp;sheet=A0&amp;row=39&amp;col=11&amp;number=9944400&amp;sourceID=46","9944400")</f>
        <v>9944400</v>
      </c>
      <c r="L39" s="4" t="str">
        <f>HYPERLINK("http://141.218.60.56/~jnz1568/getInfo.php?workbook=10_02.xlsx&amp;sheet=A0&amp;row=39&amp;col=12&amp;number=&amp;sourceID=47","")</f>
        <v/>
      </c>
    </row>
    <row r="40" spans="1:12">
      <c r="A40" s="3">
        <v>10</v>
      </c>
      <c r="B40" s="3">
        <v>2</v>
      </c>
      <c r="C40" s="3">
        <v>10</v>
      </c>
      <c r="D40" s="3">
        <v>6</v>
      </c>
      <c r="E40" s="3">
        <f>((1/(INDEX(E0!J$4:J$52,C40,1)-INDEX(E0!J$4:J$52,D40,1))))*100000000</f>
        <v>0</v>
      </c>
      <c r="F40" s="4" t="str">
        <f>HYPERLINK("http://141.218.60.56/~jnz1568/getInfo.php?workbook=10_02.xlsx&amp;sheet=A0&amp;row=40&amp;col=6&amp;number=&amp;sourceID=27","")</f>
        <v/>
      </c>
      <c r="G40" s="4" t="str">
        <f>HYPERLINK("http://141.218.60.56/~jnz1568/getInfo.php?workbook=10_02.xlsx&amp;sheet=A0&amp;row=40&amp;col=7&amp;number=99040000&amp;sourceID=32","99040000")</f>
        <v>99040000</v>
      </c>
      <c r="H40" s="4" t="str">
        <f>HYPERLINK("http://141.218.60.56/~jnz1568/getInfo.php?workbook=10_02.xlsx&amp;sheet=A0&amp;row=40&amp;col=8&amp;number=&amp;sourceID=32","")</f>
        <v/>
      </c>
      <c r="I40" s="4" t="str">
        <f>HYPERLINK("http://141.218.60.56/~jnz1568/getInfo.php?workbook=10_02.xlsx&amp;sheet=A0&amp;row=40&amp;col=9&amp;number=&amp;sourceID=32","")</f>
        <v/>
      </c>
      <c r="J40" s="4" t="str">
        <f>HYPERLINK("http://141.218.60.56/~jnz1568/getInfo.php?workbook=10_02.xlsx&amp;sheet=A0&amp;row=40&amp;col=10&amp;number=&amp;sourceID=32","")</f>
        <v/>
      </c>
      <c r="K40" s="4" t="str">
        <f>HYPERLINK("http://141.218.60.56/~jnz1568/getInfo.php?workbook=10_02.xlsx&amp;sheet=A0&amp;row=40&amp;col=11&amp;number=76700000&amp;sourceID=46","76700000")</f>
        <v>76700000</v>
      </c>
      <c r="L40" s="4" t="str">
        <f>HYPERLINK("http://141.218.60.56/~jnz1568/getInfo.php?workbook=10_02.xlsx&amp;sheet=A0&amp;row=40&amp;col=12&amp;number=&amp;sourceID=47","")</f>
        <v/>
      </c>
    </row>
    <row r="41" spans="1:12">
      <c r="A41" s="3">
        <v>10</v>
      </c>
      <c r="B41" s="3">
        <v>2</v>
      </c>
      <c r="C41" s="3">
        <v>10</v>
      </c>
      <c r="D41" s="3">
        <v>7</v>
      </c>
      <c r="E41" s="3">
        <f>((1/(INDEX(E0!J$4:J$52,C41,1)-INDEX(E0!J$4:J$52,D41,1))))*100000000</f>
        <v>0</v>
      </c>
      <c r="F41" s="4" t="str">
        <f>HYPERLINK("http://141.218.60.56/~jnz1568/getInfo.php?workbook=10_02.xlsx&amp;sheet=A0&amp;row=41&amp;col=6&amp;number=&amp;sourceID=27","")</f>
        <v/>
      </c>
      <c r="G41" s="4" t="str">
        <f>HYPERLINK("http://141.218.60.56/~jnz1568/getInfo.php?workbook=10_02.xlsx&amp;sheet=A0&amp;row=41&amp;col=7&amp;number=&amp;sourceID=32","")</f>
        <v/>
      </c>
      <c r="H41" s="4" t="str">
        <f>HYPERLINK("http://141.218.60.56/~jnz1568/getInfo.php?workbook=10_02.xlsx&amp;sheet=A0&amp;row=41&amp;col=8&amp;number=17650&amp;sourceID=32","17650")</f>
        <v>17650</v>
      </c>
      <c r="I41" s="4" t="str">
        <f>HYPERLINK("http://141.218.60.56/~jnz1568/getInfo.php?workbook=10_02.xlsx&amp;sheet=A0&amp;row=41&amp;col=9&amp;number=17.26&amp;sourceID=32","17.26")</f>
        <v>17.26</v>
      </c>
      <c r="J41" s="4" t="str">
        <f>HYPERLINK("http://141.218.60.56/~jnz1568/getInfo.php?workbook=10_02.xlsx&amp;sheet=A0&amp;row=41&amp;col=10&amp;number=&amp;sourceID=32","")</f>
        <v/>
      </c>
      <c r="K41" s="4" t="str">
        <f>HYPERLINK("http://141.218.60.56/~jnz1568/getInfo.php?workbook=10_02.xlsx&amp;sheet=A0&amp;row=41&amp;col=11&amp;number=12374&amp;sourceID=46","12374")</f>
        <v>12374</v>
      </c>
      <c r="L41" s="4" t="str">
        <f>HYPERLINK("http://141.218.60.56/~jnz1568/getInfo.php?workbook=10_02.xlsx&amp;sheet=A0&amp;row=41&amp;col=12&amp;number=&amp;sourceID=47","")</f>
        <v/>
      </c>
    </row>
    <row r="42" spans="1:12">
      <c r="A42" s="3">
        <v>10</v>
      </c>
      <c r="B42" s="3">
        <v>2</v>
      </c>
      <c r="C42" s="3">
        <v>10</v>
      </c>
      <c r="D42" s="3">
        <v>8</v>
      </c>
      <c r="E42" s="3">
        <f>((1/(INDEX(E0!J$4:J$52,C42,1)-INDEX(E0!J$4:J$52,D42,1))))*100000000</f>
        <v>0</v>
      </c>
      <c r="F42" s="4" t="str">
        <f>HYPERLINK("http://141.218.60.56/~jnz1568/getInfo.php?workbook=10_02.xlsx&amp;sheet=A0&amp;row=42&amp;col=6&amp;number=&amp;sourceID=27","")</f>
        <v/>
      </c>
      <c r="G42" s="4" t="str">
        <f>HYPERLINK("http://141.218.60.56/~jnz1568/getInfo.php?workbook=10_02.xlsx&amp;sheet=A0&amp;row=42&amp;col=7&amp;number=13080000&amp;sourceID=32","13080000")</f>
        <v>13080000</v>
      </c>
      <c r="H42" s="4" t="str">
        <f>HYPERLINK("http://141.218.60.56/~jnz1568/getInfo.php?workbook=10_02.xlsx&amp;sheet=A0&amp;row=42&amp;col=8&amp;number=&amp;sourceID=32","")</f>
        <v/>
      </c>
      <c r="I42" s="4" t="str">
        <f>HYPERLINK("http://141.218.60.56/~jnz1568/getInfo.php?workbook=10_02.xlsx&amp;sheet=A0&amp;row=42&amp;col=9&amp;number=&amp;sourceID=32","")</f>
        <v/>
      </c>
      <c r="J42" s="4" t="str">
        <f>HYPERLINK("http://141.218.60.56/~jnz1568/getInfo.php?workbook=10_02.xlsx&amp;sheet=A0&amp;row=42&amp;col=10&amp;number=2.077e-05&amp;sourceID=32","2.077e-05")</f>
        <v>2.077e-05</v>
      </c>
      <c r="K42" s="4" t="str">
        <f>HYPERLINK("http://141.218.60.56/~jnz1568/getInfo.php?workbook=10_02.xlsx&amp;sheet=A0&amp;row=42&amp;col=11&amp;number=12798000&amp;sourceID=46","12798000")</f>
        <v>12798000</v>
      </c>
      <c r="L42" s="4" t="str">
        <f>HYPERLINK("http://141.218.60.56/~jnz1568/getInfo.php?workbook=10_02.xlsx&amp;sheet=A0&amp;row=42&amp;col=12&amp;number=&amp;sourceID=47","")</f>
        <v/>
      </c>
    </row>
    <row r="43" spans="1:12">
      <c r="A43" s="3">
        <v>10</v>
      </c>
      <c r="B43" s="3">
        <v>2</v>
      </c>
      <c r="C43" s="3">
        <v>11</v>
      </c>
      <c r="D43" s="3">
        <v>2</v>
      </c>
      <c r="E43" s="3">
        <f>((1/(INDEX(E0!J$4:J$52,C43,1)-INDEX(E0!J$4:J$52,D43,1))))*100000000</f>
        <v>0</v>
      </c>
      <c r="F43" s="4" t="str">
        <f>HYPERLINK("http://141.218.60.56/~jnz1568/getInfo.php?workbook=10_02.xlsx&amp;sheet=A0&amp;row=43&amp;col=6&amp;number=&amp;sourceID=27","")</f>
        <v/>
      </c>
      <c r="G43" s="4" t="str">
        <f>HYPERLINK("http://141.218.60.56/~jnz1568/getInfo.php?workbook=10_02.xlsx&amp;sheet=A0&amp;row=43&amp;col=7&amp;number=&amp;sourceID=32","")</f>
        <v/>
      </c>
      <c r="H43" s="4" t="str">
        <f>HYPERLINK("http://141.218.60.56/~jnz1568/getInfo.php?workbook=10_02.xlsx&amp;sheet=A0&amp;row=43&amp;col=8&amp;number=&amp;sourceID=32","")</f>
        <v/>
      </c>
      <c r="I43" s="4" t="str">
        <f>HYPERLINK("http://141.218.60.56/~jnz1568/getInfo.php?workbook=10_02.xlsx&amp;sheet=A0&amp;row=43&amp;col=9&amp;number=5.476&amp;sourceID=32","5.476")</f>
        <v>5.476</v>
      </c>
      <c r="J43" s="4" t="str">
        <f>HYPERLINK("http://141.218.60.56/~jnz1568/getInfo.php?workbook=10_02.xlsx&amp;sheet=A0&amp;row=43&amp;col=10&amp;number=&amp;sourceID=32","")</f>
        <v/>
      </c>
      <c r="K43" s="4" t="str">
        <f>HYPERLINK("http://141.218.60.56/~jnz1568/getInfo.php?workbook=10_02.xlsx&amp;sheet=A0&amp;row=43&amp;col=11&amp;number=5.7006&amp;sourceID=46","5.7006")</f>
        <v>5.7006</v>
      </c>
      <c r="L43" s="4" t="str">
        <f>HYPERLINK("http://141.218.60.56/~jnz1568/getInfo.php?workbook=10_02.xlsx&amp;sheet=A0&amp;row=43&amp;col=12&amp;number=&amp;sourceID=47","")</f>
        <v/>
      </c>
    </row>
    <row r="44" spans="1:12">
      <c r="A44" s="3">
        <v>10</v>
      </c>
      <c r="B44" s="3">
        <v>2</v>
      </c>
      <c r="C44" s="3">
        <v>11</v>
      </c>
      <c r="D44" s="3">
        <v>4</v>
      </c>
      <c r="E44" s="3">
        <f>((1/(INDEX(E0!J$4:J$52,C44,1)-INDEX(E0!J$4:J$52,D44,1))))*100000000</f>
        <v>0</v>
      </c>
      <c r="F44" s="4" t="str">
        <f>HYPERLINK("http://141.218.60.56/~jnz1568/getInfo.php?workbook=10_02.xlsx&amp;sheet=A0&amp;row=44&amp;col=6&amp;number=&amp;sourceID=27","")</f>
        <v/>
      </c>
      <c r="G44" s="4" t="str">
        <f>HYPERLINK("http://141.218.60.56/~jnz1568/getInfo.php?workbook=10_02.xlsx&amp;sheet=A0&amp;row=44&amp;col=7&amp;number=24420000&amp;sourceID=32","24420000")</f>
        <v>24420000</v>
      </c>
      <c r="H44" s="4" t="str">
        <f>HYPERLINK("http://141.218.60.56/~jnz1568/getInfo.php?workbook=10_02.xlsx&amp;sheet=A0&amp;row=44&amp;col=8&amp;number=&amp;sourceID=32","")</f>
        <v/>
      </c>
      <c r="I44" s="4" t="str">
        <f>HYPERLINK("http://141.218.60.56/~jnz1568/getInfo.php?workbook=10_02.xlsx&amp;sheet=A0&amp;row=44&amp;col=9&amp;number=&amp;sourceID=32","")</f>
        <v/>
      </c>
      <c r="J44" s="4" t="str">
        <f>HYPERLINK("http://141.218.60.56/~jnz1568/getInfo.php?workbook=10_02.xlsx&amp;sheet=A0&amp;row=44&amp;col=10&amp;number=&amp;sourceID=32","")</f>
        <v/>
      </c>
      <c r="K44" s="4" t="str">
        <f>HYPERLINK("http://141.218.60.56/~jnz1568/getInfo.php?workbook=10_02.xlsx&amp;sheet=A0&amp;row=44&amp;col=11&amp;number=25582000&amp;sourceID=46","25582000")</f>
        <v>25582000</v>
      </c>
      <c r="L44" s="4" t="str">
        <f>HYPERLINK("http://141.218.60.56/~jnz1568/getInfo.php?workbook=10_02.xlsx&amp;sheet=A0&amp;row=44&amp;col=12&amp;number=&amp;sourceID=47","")</f>
        <v/>
      </c>
    </row>
    <row r="45" spans="1:12">
      <c r="A45" s="3">
        <v>10</v>
      </c>
      <c r="B45" s="3">
        <v>2</v>
      </c>
      <c r="C45" s="3">
        <v>11</v>
      </c>
      <c r="D45" s="3">
        <v>5</v>
      </c>
      <c r="E45" s="3">
        <f>((1/(INDEX(E0!J$4:J$52,C45,1)-INDEX(E0!J$4:J$52,D45,1))))*100000000</f>
        <v>0</v>
      </c>
      <c r="F45" s="4" t="str">
        <f>HYPERLINK("http://141.218.60.56/~jnz1568/getInfo.php?workbook=10_02.xlsx&amp;sheet=A0&amp;row=45&amp;col=6&amp;number=&amp;sourceID=27","")</f>
        <v/>
      </c>
      <c r="G45" s="4" t="str">
        <f>HYPERLINK("http://141.218.60.56/~jnz1568/getInfo.php?workbook=10_02.xlsx&amp;sheet=A0&amp;row=45&amp;col=7&amp;number=&amp;sourceID=32","")</f>
        <v/>
      </c>
      <c r="H45" s="4" t="str">
        <f>HYPERLINK("http://141.218.60.56/~jnz1568/getInfo.php?workbook=10_02.xlsx&amp;sheet=A0&amp;row=45&amp;col=8&amp;number=&amp;sourceID=32","")</f>
        <v/>
      </c>
      <c r="I45" s="4" t="str">
        <f>HYPERLINK("http://141.218.60.56/~jnz1568/getInfo.php?workbook=10_02.xlsx&amp;sheet=A0&amp;row=45&amp;col=9&amp;number=&amp;sourceID=32","")</f>
        <v/>
      </c>
      <c r="J45" s="4" t="str">
        <f>HYPERLINK("http://141.218.60.56/~jnz1568/getInfo.php?workbook=10_02.xlsx&amp;sheet=A0&amp;row=45&amp;col=10&amp;number=489.8&amp;sourceID=32","489.8")</f>
        <v>489.8</v>
      </c>
      <c r="K45" s="4" t="str">
        <f>HYPERLINK("http://141.218.60.56/~jnz1568/getInfo.php?workbook=10_02.xlsx&amp;sheet=A0&amp;row=45&amp;col=11&amp;number=469.26&amp;sourceID=46","469.26")</f>
        <v>469.26</v>
      </c>
      <c r="L45" s="4" t="str">
        <f>HYPERLINK("http://141.218.60.56/~jnz1568/getInfo.php?workbook=10_02.xlsx&amp;sheet=A0&amp;row=45&amp;col=12&amp;number=&amp;sourceID=47","")</f>
        <v/>
      </c>
    </row>
    <row r="46" spans="1:12">
      <c r="A46" s="3">
        <v>10</v>
      </c>
      <c r="B46" s="3">
        <v>2</v>
      </c>
      <c r="C46" s="3">
        <v>11</v>
      </c>
      <c r="D46" s="3">
        <v>7</v>
      </c>
      <c r="E46" s="3">
        <f>((1/(INDEX(E0!J$4:J$52,C46,1)-INDEX(E0!J$4:J$52,D46,1))))*100000000</f>
        <v>0</v>
      </c>
      <c r="F46" s="4" t="str">
        <f>HYPERLINK("http://141.218.60.56/~jnz1568/getInfo.php?workbook=10_02.xlsx&amp;sheet=A0&amp;row=46&amp;col=6&amp;number=&amp;sourceID=27","")</f>
        <v/>
      </c>
      <c r="G46" s="4" t="str">
        <f>HYPERLINK("http://141.218.60.56/~jnz1568/getInfo.php?workbook=10_02.xlsx&amp;sheet=A0&amp;row=46&amp;col=7&amp;number=52290000000&amp;sourceID=32","52290000000")</f>
        <v>52290000000</v>
      </c>
      <c r="H46" s="4" t="str">
        <f>HYPERLINK("http://141.218.60.56/~jnz1568/getInfo.php?workbook=10_02.xlsx&amp;sheet=A0&amp;row=46&amp;col=8&amp;number=&amp;sourceID=32","")</f>
        <v/>
      </c>
      <c r="I46" s="4" t="str">
        <f>HYPERLINK("http://141.218.60.56/~jnz1568/getInfo.php?workbook=10_02.xlsx&amp;sheet=A0&amp;row=46&amp;col=9&amp;number=&amp;sourceID=32","")</f>
        <v/>
      </c>
      <c r="J46" s="4" t="str">
        <f>HYPERLINK("http://141.218.60.56/~jnz1568/getInfo.php?workbook=10_02.xlsx&amp;sheet=A0&amp;row=46&amp;col=10&amp;number=&amp;sourceID=32","")</f>
        <v/>
      </c>
      <c r="K46" s="4" t="str">
        <f>HYPERLINK("http://141.218.60.56/~jnz1568/getInfo.php?workbook=10_02.xlsx&amp;sheet=A0&amp;row=46&amp;col=11&amp;number=54351000000&amp;sourceID=46","54351000000")</f>
        <v>54351000000</v>
      </c>
      <c r="L46" s="4" t="str">
        <f>HYPERLINK("http://141.218.60.56/~jnz1568/getInfo.php?workbook=10_02.xlsx&amp;sheet=A0&amp;row=46&amp;col=12&amp;number=&amp;sourceID=47","")</f>
        <v/>
      </c>
    </row>
    <row r="47" spans="1:12">
      <c r="A47" s="3">
        <v>10</v>
      </c>
      <c r="B47" s="3">
        <v>2</v>
      </c>
      <c r="C47" s="3">
        <v>11</v>
      </c>
      <c r="D47" s="3">
        <v>8</v>
      </c>
      <c r="E47" s="3">
        <f>((1/(INDEX(E0!J$4:J$52,C47,1)-INDEX(E0!J$4:J$52,D47,1))))*100000000</f>
        <v>0</v>
      </c>
      <c r="F47" s="4" t="str">
        <f>HYPERLINK("http://141.218.60.56/~jnz1568/getInfo.php?workbook=10_02.xlsx&amp;sheet=A0&amp;row=47&amp;col=6&amp;number=&amp;sourceID=27","")</f>
        <v/>
      </c>
      <c r="G47" s="4" t="str">
        <f>HYPERLINK("http://141.218.60.56/~jnz1568/getInfo.php?workbook=10_02.xlsx&amp;sheet=A0&amp;row=47&amp;col=7&amp;number=&amp;sourceID=32","")</f>
        <v/>
      </c>
      <c r="H47" s="4" t="str">
        <f>HYPERLINK("http://141.218.60.56/~jnz1568/getInfo.php?workbook=10_02.xlsx&amp;sheet=A0&amp;row=47&amp;col=8&amp;number=&amp;sourceID=32","")</f>
        <v/>
      </c>
      <c r="I47" s="4" t="str">
        <f>HYPERLINK("http://141.218.60.56/~jnz1568/getInfo.php?workbook=10_02.xlsx&amp;sheet=A0&amp;row=47&amp;col=9&amp;number=0.002231&amp;sourceID=32","0.002231")</f>
        <v>0.002231</v>
      </c>
      <c r="J47" s="4" t="str">
        <f>HYPERLINK("http://141.218.60.56/~jnz1568/getInfo.php?workbook=10_02.xlsx&amp;sheet=A0&amp;row=47&amp;col=10&amp;number=&amp;sourceID=32","")</f>
        <v/>
      </c>
      <c r="K47" s="4" t="str">
        <f>HYPERLINK("http://141.218.60.56/~jnz1568/getInfo.php?workbook=10_02.xlsx&amp;sheet=A0&amp;row=47&amp;col=11&amp;number=&amp;sourceID=46","")</f>
        <v/>
      </c>
      <c r="L47" s="4" t="str">
        <f>HYPERLINK("http://141.218.60.56/~jnz1568/getInfo.php?workbook=10_02.xlsx&amp;sheet=A0&amp;row=47&amp;col=12&amp;number=&amp;sourceID=47","")</f>
        <v/>
      </c>
    </row>
    <row r="48" spans="1:12">
      <c r="A48" s="3">
        <v>10</v>
      </c>
      <c r="B48" s="3">
        <v>2</v>
      </c>
      <c r="C48" s="3">
        <v>11</v>
      </c>
      <c r="D48" s="3">
        <v>10</v>
      </c>
      <c r="E48" s="3">
        <f>((1/(INDEX(E0!J$4:J$52,C48,1)-INDEX(E0!J$4:J$52,D48,1))))*100000000</f>
        <v>0</v>
      </c>
      <c r="F48" s="4" t="str">
        <f>HYPERLINK("http://141.218.60.56/~jnz1568/getInfo.php?workbook=10_02.xlsx&amp;sheet=A0&amp;row=48&amp;col=6&amp;number=&amp;sourceID=27","")</f>
        <v/>
      </c>
      <c r="G48" s="4" t="str">
        <f>HYPERLINK("http://141.218.60.56/~jnz1568/getInfo.php?workbook=10_02.xlsx&amp;sheet=A0&amp;row=48&amp;col=7&amp;number=0.108&amp;sourceID=32","0.108")</f>
        <v>0.108</v>
      </c>
      <c r="H48" s="4" t="str">
        <f>HYPERLINK("http://141.218.60.56/~jnz1568/getInfo.php?workbook=10_02.xlsx&amp;sheet=A0&amp;row=48&amp;col=8&amp;number=&amp;sourceID=32","")</f>
        <v/>
      </c>
      <c r="I48" s="4" t="str">
        <f>HYPERLINK("http://141.218.60.56/~jnz1568/getInfo.php?workbook=10_02.xlsx&amp;sheet=A0&amp;row=48&amp;col=9&amp;number=&amp;sourceID=32","")</f>
        <v/>
      </c>
      <c r="J48" s="4" t="str">
        <f>HYPERLINK("http://141.218.60.56/~jnz1568/getInfo.php?workbook=10_02.xlsx&amp;sheet=A0&amp;row=48&amp;col=10&amp;number=&amp;sourceID=32","")</f>
        <v/>
      </c>
      <c r="K48" s="4" t="str">
        <f>HYPERLINK("http://141.218.60.56/~jnz1568/getInfo.php?workbook=10_02.xlsx&amp;sheet=A0&amp;row=48&amp;col=11&amp;number=8.0095&amp;sourceID=46","8.0095")</f>
        <v>8.0095</v>
      </c>
      <c r="L48" s="4" t="str">
        <f>HYPERLINK("http://141.218.60.56/~jnz1568/getInfo.php?workbook=10_02.xlsx&amp;sheet=A0&amp;row=48&amp;col=12&amp;number=&amp;sourceID=47","")</f>
        <v/>
      </c>
    </row>
    <row r="49" spans="1:12">
      <c r="A49" s="3">
        <v>10</v>
      </c>
      <c r="B49" s="3">
        <v>2</v>
      </c>
      <c r="C49" s="3">
        <v>12</v>
      </c>
      <c r="D49" s="3">
        <v>1</v>
      </c>
      <c r="E49" s="3">
        <f>((1/(INDEX(E0!J$4:J$52,C49,1)-INDEX(E0!J$4:J$52,D49,1))))*100000000</f>
        <v>0</v>
      </c>
      <c r="F49" s="4" t="str">
        <f>HYPERLINK("http://141.218.60.56/~jnz1568/getInfo.php?workbook=10_02.xlsx&amp;sheet=A0&amp;row=49&amp;col=6&amp;number=&amp;sourceID=27","")</f>
        <v/>
      </c>
      <c r="G49" s="4" t="str">
        <f>HYPERLINK("http://141.218.60.56/~jnz1568/getInfo.php?workbook=10_02.xlsx&amp;sheet=A0&amp;row=49&amp;col=7&amp;number=&amp;sourceID=32","")</f>
        <v/>
      </c>
      <c r="H49" s="4" t="str">
        <f>HYPERLINK("http://141.218.60.56/~jnz1568/getInfo.php?workbook=10_02.xlsx&amp;sheet=A0&amp;row=49&amp;col=8&amp;number=&amp;sourceID=32","")</f>
        <v/>
      </c>
      <c r="I49" s="4" t="str">
        <f>HYPERLINK("http://141.218.60.56/~jnz1568/getInfo.php?workbook=10_02.xlsx&amp;sheet=A0&amp;row=49&amp;col=9&amp;number=&amp;sourceID=32","")</f>
        <v/>
      </c>
      <c r="J49" s="4" t="str">
        <f>HYPERLINK("http://141.218.60.56/~jnz1568/getInfo.php?workbook=10_02.xlsx&amp;sheet=A0&amp;row=49&amp;col=10&amp;number=827400&amp;sourceID=32","827400")</f>
        <v>827400</v>
      </c>
      <c r="K49" s="4" t="str">
        <f>HYPERLINK("http://141.218.60.56/~jnz1568/getInfo.php?workbook=10_02.xlsx&amp;sheet=A0&amp;row=49&amp;col=11&amp;number=799760&amp;sourceID=46","799760")</f>
        <v>799760</v>
      </c>
      <c r="L49" s="4" t="str">
        <f>HYPERLINK("http://141.218.60.56/~jnz1568/getInfo.php?workbook=10_02.xlsx&amp;sheet=A0&amp;row=49&amp;col=12&amp;number=&amp;sourceID=47","")</f>
        <v/>
      </c>
    </row>
    <row r="50" spans="1:12">
      <c r="A50" s="3">
        <v>10</v>
      </c>
      <c r="B50" s="3">
        <v>2</v>
      </c>
      <c r="C50" s="3">
        <v>12</v>
      </c>
      <c r="D50" s="3">
        <v>2</v>
      </c>
      <c r="E50" s="3">
        <f>((1/(INDEX(E0!J$4:J$52,C50,1)-INDEX(E0!J$4:J$52,D50,1))))*100000000</f>
        <v>0</v>
      </c>
      <c r="F50" s="4" t="str">
        <f>HYPERLINK("http://141.218.60.56/~jnz1568/getInfo.php?workbook=10_02.xlsx&amp;sheet=A0&amp;row=50&amp;col=6&amp;number=&amp;sourceID=27","")</f>
        <v/>
      </c>
      <c r="G50" s="4" t="str">
        <f>HYPERLINK("http://141.218.60.56/~jnz1568/getInfo.php?workbook=10_02.xlsx&amp;sheet=A0&amp;row=50&amp;col=7&amp;number=146000000000&amp;sourceID=32","146000000000")</f>
        <v>146000000000</v>
      </c>
      <c r="H50" s="4" t="str">
        <f>HYPERLINK("http://141.218.60.56/~jnz1568/getInfo.php?workbook=10_02.xlsx&amp;sheet=A0&amp;row=50&amp;col=8&amp;number=&amp;sourceID=32","")</f>
        <v/>
      </c>
      <c r="I50" s="4" t="str">
        <f>HYPERLINK("http://141.218.60.56/~jnz1568/getInfo.php?workbook=10_02.xlsx&amp;sheet=A0&amp;row=50&amp;col=9&amp;number=&amp;sourceID=32","")</f>
        <v/>
      </c>
      <c r="J50" s="4" t="str">
        <f>HYPERLINK("http://141.218.60.56/~jnz1568/getInfo.php?workbook=10_02.xlsx&amp;sheet=A0&amp;row=50&amp;col=10&amp;number=1750&amp;sourceID=32","1750")</f>
        <v>1750</v>
      </c>
      <c r="K50" s="4" t="str">
        <f>HYPERLINK("http://141.218.60.56/~jnz1568/getInfo.php?workbook=10_02.xlsx&amp;sheet=A0&amp;row=50&amp;col=11&amp;number=144720000000&amp;sourceID=46","144720000000")</f>
        <v>144720000000</v>
      </c>
      <c r="L50" s="4" t="str">
        <f>HYPERLINK("http://141.218.60.56/~jnz1568/getInfo.php?workbook=10_02.xlsx&amp;sheet=A0&amp;row=50&amp;col=12&amp;number=143000000000&amp;sourceID=47","143000000000")</f>
        <v>143000000000</v>
      </c>
    </row>
    <row r="51" spans="1:12">
      <c r="A51" s="3">
        <v>10</v>
      </c>
      <c r="B51" s="3">
        <v>2</v>
      </c>
      <c r="C51" s="3">
        <v>12</v>
      </c>
      <c r="D51" s="3">
        <v>3</v>
      </c>
      <c r="E51" s="3">
        <f>((1/(INDEX(E0!J$4:J$52,C51,1)-INDEX(E0!J$4:J$52,D51,1))))*100000000</f>
        <v>0</v>
      </c>
      <c r="F51" s="4" t="str">
        <f>HYPERLINK("http://141.218.60.56/~jnz1568/getInfo.php?workbook=10_02.xlsx&amp;sheet=A0&amp;row=51&amp;col=6&amp;number=&amp;sourceID=27","")</f>
        <v/>
      </c>
      <c r="G51" s="4" t="str">
        <f>HYPERLINK("http://141.218.60.56/~jnz1568/getInfo.php?workbook=10_02.xlsx&amp;sheet=A0&amp;row=51&amp;col=7&amp;number=&amp;sourceID=32","")</f>
        <v/>
      </c>
      <c r="H51" s="4" t="str">
        <f>HYPERLINK("http://141.218.60.56/~jnz1568/getInfo.php?workbook=10_02.xlsx&amp;sheet=A0&amp;row=51&amp;col=8&amp;number=2675000&amp;sourceID=32","2675000")</f>
        <v>2675000</v>
      </c>
      <c r="I51" s="4" t="str">
        <f>HYPERLINK("http://141.218.60.56/~jnz1568/getInfo.php?workbook=10_02.xlsx&amp;sheet=A0&amp;row=51&amp;col=9&amp;number=&amp;sourceID=32","")</f>
        <v/>
      </c>
      <c r="J51" s="4" t="str">
        <f>HYPERLINK("http://141.218.60.56/~jnz1568/getInfo.php?workbook=10_02.xlsx&amp;sheet=A0&amp;row=51&amp;col=10&amp;number=&amp;sourceID=32","")</f>
        <v/>
      </c>
      <c r="K51" s="4" t="str">
        <f>HYPERLINK("http://141.218.60.56/~jnz1568/getInfo.php?workbook=10_02.xlsx&amp;sheet=A0&amp;row=51&amp;col=11&amp;number=2664600&amp;sourceID=46","2664600")</f>
        <v>2664600</v>
      </c>
      <c r="L51" s="4" t="str">
        <f>HYPERLINK("http://141.218.60.56/~jnz1568/getInfo.php?workbook=10_02.xlsx&amp;sheet=A0&amp;row=51&amp;col=12&amp;number=&amp;sourceID=47","")</f>
        <v/>
      </c>
    </row>
    <row r="52" spans="1:12">
      <c r="A52" s="3">
        <v>10</v>
      </c>
      <c r="B52" s="3">
        <v>2</v>
      </c>
      <c r="C52" s="3">
        <v>12</v>
      </c>
      <c r="D52" s="3">
        <v>4</v>
      </c>
      <c r="E52" s="3">
        <f>((1/(INDEX(E0!J$4:J$52,C52,1)-INDEX(E0!J$4:J$52,D52,1))))*100000000</f>
        <v>0</v>
      </c>
      <c r="F52" s="4" t="str">
        <f>HYPERLINK("http://141.218.60.56/~jnz1568/getInfo.php?workbook=10_02.xlsx&amp;sheet=A0&amp;row=52&amp;col=6&amp;number=&amp;sourceID=27","")</f>
        <v/>
      </c>
      <c r="G52" s="4" t="str">
        <f>HYPERLINK("http://141.218.60.56/~jnz1568/getInfo.php?workbook=10_02.xlsx&amp;sheet=A0&amp;row=52&amp;col=7&amp;number=&amp;sourceID=32","")</f>
        <v/>
      </c>
      <c r="H52" s="4" t="str">
        <f>HYPERLINK("http://141.218.60.56/~jnz1568/getInfo.php?workbook=10_02.xlsx&amp;sheet=A0&amp;row=52&amp;col=8&amp;number=6014000&amp;sourceID=32","6014000")</f>
        <v>6014000</v>
      </c>
      <c r="I52" s="4" t="str">
        <f>HYPERLINK("http://141.218.60.56/~jnz1568/getInfo.php?workbook=10_02.xlsx&amp;sheet=A0&amp;row=52&amp;col=9&amp;number=11.66&amp;sourceID=32","11.66")</f>
        <v>11.66</v>
      </c>
      <c r="J52" s="4" t="str">
        <f>HYPERLINK("http://141.218.60.56/~jnz1568/getInfo.php?workbook=10_02.xlsx&amp;sheet=A0&amp;row=52&amp;col=10&amp;number=&amp;sourceID=32","")</f>
        <v/>
      </c>
      <c r="K52" s="4" t="str">
        <f>HYPERLINK("http://141.218.60.56/~jnz1568/getInfo.php?workbook=10_02.xlsx&amp;sheet=A0&amp;row=52&amp;col=11&amp;number=5981400&amp;sourceID=46","5981400")</f>
        <v>5981400</v>
      </c>
      <c r="L52" s="4" t="str">
        <f>HYPERLINK("http://141.218.60.56/~jnz1568/getInfo.php?workbook=10_02.xlsx&amp;sheet=A0&amp;row=52&amp;col=12&amp;number=&amp;sourceID=47","")</f>
        <v/>
      </c>
    </row>
    <row r="53" spans="1:12">
      <c r="A53" s="3">
        <v>10</v>
      </c>
      <c r="B53" s="3">
        <v>2</v>
      </c>
      <c r="C53" s="3">
        <v>12</v>
      </c>
      <c r="D53" s="3">
        <v>5</v>
      </c>
      <c r="E53" s="3">
        <f>((1/(INDEX(E0!J$4:J$52,C53,1)-INDEX(E0!J$4:J$52,D53,1))))*100000000</f>
        <v>0</v>
      </c>
      <c r="F53" s="4" t="str">
        <f>HYPERLINK("http://141.218.60.56/~jnz1568/getInfo.php?workbook=10_02.xlsx&amp;sheet=A0&amp;row=53&amp;col=6&amp;number=&amp;sourceID=27","")</f>
        <v/>
      </c>
      <c r="G53" s="4" t="str">
        <f>HYPERLINK("http://141.218.60.56/~jnz1568/getInfo.php?workbook=10_02.xlsx&amp;sheet=A0&amp;row=53&amp;col=7&amp;number=&amp;sourceID=32","")</f>
        <v/>
      </c>
      <c r="H53" s="4" t="str">
        <f>HYPERLINK("http://141.218.60.56/~jnz1568/getInfo.php?workbook=10_02.xlsx&amp;sheet=A0&amp;row=53&amp;col=8&amp;number=4674000&amp;sourceID=32","4674000")</f>
        <v>4674000</v>
      </c>
      <c r="I53" s="4" t="str">
        <f>HYPERLINK("http://141.218.60.56/~jnz1568/getInfo.php?workbook=10_02.xlsx&amp;sheet=A0&amp;row=53&amp;col=9&amp;number=12.23&amp;sourceID=32","12.23")</f>
        <v>12.23</v>
      </c>
      <c r="J53" s="4" t="str">
        <f>HYPERLINK("http://141.218.60.56/~jnz1568/getInfo.php?workbook=10_02.xlsx&amp;sheet=A0&amp;row=53&amp;col=10&amp;number=&amp;sourceID=32","")</f>
        <v/>
      </c>
      <c r="K53" s="4" t="str">
        <f>HYPERLINK("http://141.218.60.56/~jnz1568/getInfo.php?workbook=10_02.xlsx&amp;sheet=A0&amp;row=53&amp;col=11&amp;number=4632600&amp;sourceID=46","4632600")</f>
        <v>4632600</v>
      </c>
      <c r="L53" s="4" t="str">
        <f>HYPERLINK("http://141.218.60.56/~jnz1568/getInfo.php?workbook=10_02.xlsx&amp;sheet=A0&amp;row=53&amp;col=12&amp;number=&amp;sourceID=47","")</f>
        <v/>
      </c>
    </row>
    <row r="54" spans="1:12">
      <c r="A54" s="3">
        <v>10</v>
      </c>
      <c r="B54" s="3">
        <v>2</v>
      </c>
      <c r="C54" s="3">
        <v>12</v>
      </c>
      <c r="D54" s="3">
        <v>6</v>
      </c>
      <c r="E54" s="3">
        <f>((1/(INDEX(E0!J$4:J$52,C54,1)-INDEX(E0!J$4:J$52,D54,1))))*100000000</f>
        <v>0</v>
      </c>
      <c r="F54" s="4" t="str">
        <f>HYPERLINK("http://141.218.60.56/~jnz1568/getInfo.php?workbook=10_02.xlsx&amp;sheet=A0&amp;row=54&amp;col=6&amp;number=&amp;sourceID=27","")</f>
        <v/>
      </c>
      <c r="G54" s="4" t="str">
        <f>HYPERLINK("http://141.218.60.56/~jnz1568/getInfo.php?workbook=10_02.xlsx&amp;sheet=A0&amp;row=54&amp;col=7&amp;number=&amp;sourceID=32","")</f>
        <v/>
      </c>
      <c r="H54" s="4" t="str">
        <f>HYPERLINK("http://141.218.60.56/~jnz1568/getInfo.php?workbook=10_02.xlsx&amp;sheet=A0&amp;row=54&amp;col=8&amp;number=&amp;sourceID=32","")</f>
        <v/>
      </c>
      <c r="I54" s="4" t="str">
        <f>HYPERLINK("http://141.218.60.56/~jnz1568/getInfo.php?workbook=10_02.xlsx&amp;sheet=A0&amp;row=54&amp;col=9&amp;number=&amp;sourceID=32","")</f>
        <v/>
      </c>
      <c r="J54" s="4" t="str">
        <f>HYPERLINK("http://141.218.60.56/~jnz1568/getInfo.php?workbook=10_02.xlsx&amp;sheet=A0&amp;row=54&amp;col=10&amp;number=1082&amp;sourceID=32","1082")</f>
        <v>1082</v>
      </c>
      <c r="K54" s="4" t="str">
        <f>HYPERLINK("http://141.218.60.56/~jnz1568/getInfo.php?workbook=10_02.xlsx&amp;sheet=A0&amp;row=54&amp;col=11&amp;number=1075&amp;sourceID=46","1075")</f>
        <v>1075</v>
      </c>
      <c r="L54" s="4" t="str">
        <f>HYPERLINK("http://141.218.60.56/~jnz1568/getInfo.php?workbook=10_02.xlsx&amp;sheet=A0&amp;row=54&amp;col=12&amp;number=&amp;sourceID=47","")</f>
        <v/>
      </c>
    </row>
    <row r="55" spans="1:12">
      <c r="A55" s="3">
        <v>10</v>
      </c>
      <c r="B55" s="3">
        <v>2</v>
      </c>
      <c r="C55" s="3">
        <v>12</v>
      </c>
      <c r="D55" s="3">
        <v>7</v>
      </c>
      <c r="E55" s="3">
        <f>((1/(INDEX(E0!J$4:J$52,C55,1)-INDEX(E0!J$4:J$52,D55,1))))*100000000</f>
        <v>0</v>
      </c>
      <c r="F55" s="4" t="str">
        <f>HYPERLINK("http://141.218.60.56/~jnz1568/getInfo.php?workbook=10_02.xlsx&amp;sheet=A0&amp;row=55&amp;col=6&amp;number=&amp;sourceID=27","")</f>
        <v/>
      </c>
      <c r="G55" s="4" t="str">
        <f>HYPERLINK("http://141.218.60.56/~jnz1568/getInfo.php?workbook=10_02.xlsx&amp;sheet=A0&amp;row=55&amp;col=7&amp;number=&amp;sourceID=32","")</f>
        <v/>
      </c>
      <c r="H55" s="4" t="str">
        <f>HYPERLINK("http://141.218.60.56/~jnz1568/getInfo.php?workbook=10_02.xlsx&amp;sheet=A0&amp;row=55&amp;col=8&amp;number=3242&amp;sourceID=32","3242")</f>
        <v>3242</v>
      </c>
      <c r="I55" s="4" t="str">
        <f>HYPERLINK("http://141.218.60.56/~jnz1568/getInfo.php?workbook=10_02.xlsx&amp;sheet=A0&amp;row=55&amp;col=9&amp;number=1.485&amp;sourceID=32","1.485")</f>
        <v>1.485</v>
      </c>
      <c r="J55" s="4" t="str">
        <f>HYPERLINK("http://141.218.60.56/~jnz1568/getInfo.php?workbook=10_02.xlsx&amp;sheet=A0&amp;row=55&amp;col=10&amp;number=&amp;sourceID=32","")</f>
        <v/>
      </c>
      <c r="K55" s="4" t="str">
        <f>HYPERLINK("http://141.218.60.56/~jnz1568/getInfo.php?workbook=10_02.xlsx&amp;sheet=A0&amp;row=55&amp;col=11&amp;number=2160.9&amp;sourceID=46","2160.9")</f>
        <v>2160.9</v>
      </c>
      <c r="L55" s="4" t="str">
        <f>HYPERLINK("http://141.218.60.56/~jnz1568/getInfo.php?workbook=10_02.xlsx&amp;sheet=A0&amp;row=55&amp;col=12&amp;number=&amp;sourceID=47","")</f>
        <v/>
      </c>
    </row>
    <row r="56" spans="1:12">
      <c r="A56" s="3">
        <v>10</v>
      </c>
      <c r="B56" s="3">
        <v>2</v>
      </c>
      <c r="C56" s="3">
        <v>12</v>
      </c>
      <c r="D56" s="3">
        <v>8</v>
      </c>
      <c r="E56" s="3">
        <f>((1/(INDEX(E0!J$4:J$52,C56,1)-INDEX(E0!J$4:J$52,D56,1))))*100000000</f>
        <v>0</v>
      </c>
      <c r="F56" s="4" t="str">
        <f>HYPERLINK("http://141.218.60.56/~jnz1568/getInfo.php?workbook=10_02.xlsx&amp;sheet=A0&amp;row=56&amp;col=6&amp;number=&amp;sourceID=27","")</f>
        <v/>
      </c>
      <c r="G56" s="4" t="str">
        <f>HYPERLINK("http://141.218.60.56/~jnz1568/getInfo.php?workbook=10_02.xlsx&amp;sheet=A0&amp;row=56&amp;col=7&amp;number=13960000&amp;sourceID=32","13960000")</f>
        <v>13960000</v>
      </c>
      <c r="H56" s="4" t="str">
        <f>HYPERLINK("http://141.218.60.56/~jnz1568/getInfo.php?workbook=10_02.xlsx&amp;sheet=A0&amp;row=56&amp;col=8&amp;number=&amp;sourceID=32","")</f>
        <v/>
      </c>
      <c r="I56" s="4" t="str">
        <f>HYPERLINK("http://141.218.60.56/~jnz1568/getInfo.php?workbook=10_02.xlsx&amp;sheet=A0&amp;row=56&amp;col=9&amp;number=&amp;sourceID=32","")</f>
        <v/>
      </c>
      <c r="J56" s="4" t="str">
        <f>HYPERLINK("http://141.218.60.56/~jnz1568/getInfo.php?workbook=10_02.xlsx&amp;sheet=A0&amp;row=56&amp;col=10&amp;number=4.477e-05&amp;sourceID=32","4.477e-05")</f>
        <v>4.477e-05</v>
      </c>
      <c r="K56" s="4" t="str">
        <f>HYPERLINK("http://141.218.60.56/~jnz1568/getInfo.php?workbook=10_02.xlsx&amp;sheet=A0&amp;row=56&amp;col=11&amp;number=13769000&amp;sourceID=46","13769000")</f>
        <v>13769000</v>
      </c>
      <c r="L56" s="4" t="str">
        <f>HYPERLINK("http://141.218.60.56/~jnz1568/getInfo.php?workbook=10_02.xlsx&amp;sheet=A0&amp;row=56&amp;col=12&amp;number=&amp;sourceID=47","")</f>
        <v/>
      </c>
    </row>
    <row r="57" spans="1:12">
      <c r="A57" s="3">
        <v>10</v>
      </c>
      <c r="B57" s="3">
        <v>2</v>
      </c>
      <c r="C57" s="3">
        <v>12</v>
      </c>
      <c r="D57" s="3">
        <v>9</v>
      </c>
      <c r="E57" s="3">
        <f>((1/(INDEX(E0!J$4:J$52,C57,1)-INDEX(E0!J$4:J$52,D57,1))))*100000000</f>
        <v>0</v>
      </c>
      <c r="F57" s="4" t="str">
        <f>HYPERLINK("http://141.218.60.56/~jnz1568/getInfo.php?workbook=10_02.xlsx&amp;sheet=A0&amp;row=57&amp;col=6&amp;number=&amp;sourceID=27","")</f>
        <v/>
      </c>
      <c r="G57" s="4" t="str">
        <f>HYPERLINK("http://141.218.60.56/~jnz1568/getInfo.php?workbook=10_02.xlsx&amp;sheet=A0&amp;row=57&amp;col=7&amp;number=&amp;sourceID=32","")</f>
        <v/>
      </c>
      <c r="H57" s="4" t="str">
        <f>HYPERLINK("http://141.218.60.56/~jnz1568/getInfo.php?workbook=10_02.xlsx&amp;sheet=A0&amp;row=57&amp;col=8&amp;number=2.279e-09&amp;sourceID=32","2.279e-09")</f>
        <v>2.279e-09</v>
      </c>
      <c r="I57" s="4" t="str">
        <f>HYPERLINK("http://141.218.60.56/~jnz1568/getInfo.php?workbook=10_02.xlsx&amp;sheet=A0&amp;row=57&amp;col=9&amp;number=&amp;sourceID=32","")</f>
        <v/>
      </c>
      <c r="J57" s="4" t="str">
        <f>HYPERLINK("http://141.218.60.56/~jnz1568/getInfo.php?workbook=10_02.xlsx&amp;sheet=A0&amp;row=57&amp;col=10&amp;number=&amp;sourceID=32","")</f>
        <v/>
      </c>
      <c r="K57" s="4" t="str">
        <f>HYPERLINK("http://141.218.60.56/~jnz1568/getInfo.php?workbook=10_02.xlsx&amp;sheet=A0&amp;row=57&amp;col=11&amp;number=38.328&amp;sourceID=46","38.328")</f>
        <v>38.328</v>
      </c>
      <c r="L57" s="4" t="str">
        <f>HYPERLINK("http://141.218.60.56/~jnz1568/getInfo.php?workbook=10_02.xlsx&amp;sheet=A0&amp;row=57&amp;col=12&amp;number=&amp;sourceID=47","")</f>
        <v/>
      </c>
    </row>
    <row r="58" spans="1:12">
      <c r="A58" s="3">
        <v>10</v>
      </c>
      <c r="B58" s="3">
        <v>2</v>
      </c>
      <c r="C58" s="3">
        <v>12</v>
      </c>
      <c r="D58" s="3">
        <v>10</v>
      </c>
      <c r="E58" s="3">
        <f>((1/(INDEX(E0!J$4:J$52,C58,1)-INDEX(E0!J$4:J$52,D58,1))))*100000000</f>
        <v>0</v>
      </c>
      <c r="F58" s="4" t="str">
        <f>HYPERLINK("http://141.218.60.56/~jnz1568/getInfo.php?workbook=10_02.xlsx&amp;sheet=A0&amp;row=58&amp;col=6&amp;number=&amp;sourceID=27","")</f>
        <v/>
      </c>
      <c r="G58" s="4" t="str">
        <f>HYPERLINK("http://141.218.60.56/~jnz1568/getInfo.php?workbook=10_02.xlsx&amp;sheet=A0&amp;row=58&amp;col=7&amp;number=&amp;sourceID=32","")</f>
        <v/>
      </c>
      <c r="H58" s="4" t="str">
        <f>HYPERLINK("http://141.218.60.56/~jnz1568/getInfo.php?workbook=10_02.xlsx&amp;sheet=A0&amp;row=58&amp;col=8&amp;number=1.919e-09&amp;sourceID=32","1.919e-09")</f>
        <v>1.919e-09</v>
      </c>
      <c r="I58" s="4" t="str">
        <f>HYPERLINK("http://141.218.60.56/~jnz1568/getInfo.php?workbook=10_02.xlsx&amp;sheet=A0&amp;row=58&amp;col=9&amp;number=0.001298&amp;sourceID=32","0.001298")</f>
        <v>0.001298</v>
      </c>
      <c r="J58" s="4" t="str">
        <f>HYPERLINK("http://141.218.60.56/~jnz1568/getInfo.php?workbook=10_02.xlsx&amp;sheet=A0&amp;row=58&amp;col=10&amp;number=&amp;sourceID=32","")</f>
        <v/>
      </c>
      <c r="K58" s="4" t="str">
        <f>HYPERLINK("http://141.218.60.56/~jnz1568/getInfo.php?workbook=10_02.xlsx&amp;sheet=A0&amp;row=58&amp;col=11&amp;number=35258000&amp;sourceID=46","35258000")</f>
        <v>35258000</v>
      </c>
      <c r="L58" s="4" t="str">
        <f>HYPERLINK("http://141.218.60.56/~jnz1568/getInfo.php?workbook=10_02.xlsx&amp;sheet=A0&amp;row=58&amp;col=12&amp;number=&amp;sourceID=47","")</f>
        <v/>
      </c>
    </row>
    <row r="59" spans="1:12">
      <c r="A59" s="3">
        <v>10</v>
      </c>
      <c r="B59" s="3">
        <v>2</v>
      </c>
      <c r="C59" s="3">
        <v>12</v>
      </c>
      <c r="D59" s="3">
        <v>11</v>
      </c>
      <c r="E59" s="3">
        <f>((1/(INDEX(E0!J$4:J$52,C59,1)-INDEX(E0!J$4:J$52,D59,1))))*100000000</f>
        <v>0</v>
      </c>
      <c r="F59" s="4" t="str">
        <f>HYPERLINK("http://141.218.60.56/~jnz1568/getInfo.php?workbook=10_02.xlsx&amp;sheet=A0&amp;row=59&amp;col=6&amp;number=&amp;sourceID=27","")</f>
        <v/>
      </c>
      <c r="G59" s="4" t="str">
        <f>HYPERLINK("http://141.218.60.56/~jnz1568/getInfo.php?workbook=10_02.xlsx&amp;sheet=A0&amp;row=59&amp;col=7&amp;number=&amp;sourceID=32","")</f>
        <v/>
      </c>
      <c r="H59" s="4" t="str">
        <f>HYPERLINK("http://141.218.60.56/~jnz1568/getInfo.php?workbook=10_02.xlsx&amp;sheet=A0&amp;row=59&amp;col=8&amp;number=&amp;sourceID=32","")</f>
        <v/>
      </c>
      <c r="I59" s="4" t="str">
        <f>HYPERLINK("http://141.218.60.56/~jnz1568/getInfo.php?workbook=10_02.xlsx&amp;sheet=A0&amp;row=59&amp;col=9&amp;number=&amp;sourceID=32","")</f>
        <v/>
      </c>
      <c r="J59" s="4" t="str">
        <f>HYPERLINK("http://141.218.60.56/~jnz1568/getInfo.php?workbook=10_02.xlsx&amp;sheet=A0&amp;row=59&amp;col=10&amp;number=0&amp;sourceID=32","0")</f>
        <v>0</v>
      </c>
      <c r="K59" s="4" t="str">
        <f>HYPERLINK("http://141.218.60.56/~jnz1568/getInfo.php?workbook=10_02.xlsx&amp;sheet=A0&amp;row=59&amp;col=11&amp;number=244290000000&amp;sourceID=46","244290000000")</f>
        <v>244290000000</v>
      </c>
      <c r="L59" s="4" t="str">
        <f>HYPERLINK("http://141.218.60.56/~jnz1568/getInfo.php?workbook=10_02.xlsx&amp;sheet=A0&amp;row=59&amp;col=12&amp;number=&amp;sourceID=47","")</f>
        <v/>
      </c>
    </row>
    <row r="60" spans="1:12">
      <c r="A60" s="3">
        <v>10</v>
      </c>
      <c r="B60" s="3">
        <v>2</v>
      </c>
      <c r="C60" s="3">
        <v>13</v>
      </c>
      <c r="D60" s="3">
        <v>1</v>
      </c>
      <c r="E60" s="3">
        <f>((1/(INDEX(E0!J$4:J$52,C60,1)-INDEX(E0!J$4:J$52,D60,1))))*100000000</f>
        <v>0</v>
      </c>
      <c r="F60" s="4" t="str">
        <f>HYPERLINK("http://141.218.60.56/~jnz1568/getInfo.php?workbook=10_02.xlsx&amp;sheet=A0&amp;row=60&amp;col=6&amp;number=&amp;sourceID=27","")</f>
        <v/>
      </c>
      <c r="G60" s="4" t="str">
        <f>HYPERLINK("http://141.218.60.56/~jnz1568/getInfo.php?workbook=10_02.xlsx&amp;sheet=A0&amp;row=60&amp;col=7&amp;number=&amp;sourceID=32","")</f>
        <v/>
      </c>
      <c r="H60" s="4" t="str">
        <f>HYPERLINK("http://141.218.60.56/~jnz1568/getInfo.php?workbook=10_02.xlsx&amp;sheet=A0&amp;row=60&amp;col=8&amp;number=&amp;sourceID=32","")</f>
        <v/>
      </c>
      <c r="I60" s="4" t="str">
        <f>HYPERLINK("http://141.218.60.56/~jnz1568/getInfo.php?workbook=10_02.xlsx&amp;sheet=A0&amp;row=60&amp;col=9&amp;number=47.06&amp;sourceID=32","47.06")</f>
        <v>47.06</v>
      </c>
      <c r="J60" s="4" t="str">
        <f>HYPERLINK("http://141.218.60.56/~jnz1568/getInfo.php?workbook=10_02.xlsx&amp;sheet=A0&amp;row=60&amp;col=10&amp;number=&amp;sourceID=32","")</f>
        <v/>
      </c>
      <c r="K60" s="4" t="str">
        <f>HYPERLINK("http://141.218.60.56/~jnz1568/getInfo.php?workbook=10_02.xlsx&amp;sheet=A0&amp;row=60&amp;col=11&amp;number=183090000000&amp;sourceID=46","183090000000")</f>
        <v>183090000000</v>
      </c>
      <c r="L60" s="4" t="str">
        <f>HYPERLINK("http://141.218.60.56/~jnz1568/getInfo.php?workbook=10_02.xlsx&amp;sheet=A0&amp;row=60&amp;col=12&amp;number=&amp;sourceID=47","")</f>
        <v/>
      </c>
    </row>
    <row r="61" spans="1:12">
      <c r="A61" s="3">
        <v>10</v>
      </c>
      <c r="B61" s="3">
        <v>2</v>
      </c>
      <c r="C61" s="3">
        <v>13</v>
      </c>
      <c r="D61" s="3">
        <v>2</v>
      </c>
      <c r="E61" s="3">
        <f>((1/(INDEX(E0!J$4:J$52,C61,1)-INDEX(E0!J$4:J$52,D61,1))))*100000000</f>
        <v>0</v>
      </c>
      <c r="F61" s="4" t="str">
        <f>HYPERLINK("http://141.218.60.56/~jnz1568/getInfo.php?workbook=10_02.xlsx&amp;sheet=A0&amp;row=61&amp;col=6&amp;number=&amp;sourceID=27","")</f>
        <v/>
      </c>
      <c r="G61" s="4" t="str">
        <f>HYPERLINK("http://141.218.60.56/~jnz1568/getInfo.php?workbook=10_02.xlsx&amp;sheet=A0&amp;row=61&amp;col=7&amp;number=&amp;sourceID=32","")</f>
        <v/>
      </c>
      <c r="H61" s="4" t="str">
        <f>HYPERLINK("http://141.218.60.56/~jnz1568/getInfo.php?workbook=10_02.xlsx&amp;sheet=A0&amp;row=61&amp;col=8&amp;number=35240000&amp;sourceID=32","35240000")</f>
        <v>35240000</v>
      </c>
      <c r="I61" s="4" t="str">
        <f>HYPERLINK("http://141.218.60.56/~jnz1568/getInfo.php?workbook=10_02.xlsx&amp;sheet=A0&amp;row=61&amp;col=9&amp;number=0.6983&amp;sourceID=32","0.6983")</f>
        <v>0.6983</v>
      </c>
      <c r="J61" s="4" t="str">
        <f>HYPERLINK("http://141.218.60.56/~jnz1568/getInfo.php?workbook=10_02.xlsx&amp;sheet=A0&amp;row=61&amp;col=10&amp;number=&amp;sourceID=32","")</f>
        <v/>
      </c>
      <c r="K61" s="4" t="str">
        <f>HYPERLINK("http://141.218.60.56/~jnz1568/getInfo.php?workbook=10_02.xlsx&amp;sheet=A0&amp;row=61&amp;col=11&amp;number=12184000000&amp;sourceID=46","12184000000")</f>
        <v>12184000000</v>
      </c>
      <c r="L61" s="4" t="str">
        <f>HYPERLINK("http://141.218.60.56/~jnz1568/getInfo.php?workbook=10_02.xlsx&amp;sheet=A0&amp;row=61&amp;col=12&amp;number=&amp;sourceID=47","")</f>
        <v/>
      </c>
    </row>
    <row r="62" spans="1:12">
      <c r="A62" s="3">
        <v>10</v>
      </c>
      <c r="B62" s="3">
        <v>2</v>
      </c>
      <c r="C62" s="3">
        <v>13</v>
      </c>
      <c r="D62" s="3">
        <v>3</v>
      </c>
      <c r="E62" s="3">
        <f>((1/(INDEX(E0!J$4:J$52,C62,1)-INDEX(E0!J$4:J$52,D62,1))))*100000000</f>
        <v>0</v>
      </c>
      <c r="F62" s="4" t="str">
        <f>HYPERLINK("http://141.218.60.56/~jnz1568/getInfo.php?workbook=10_02.xlsx&amp;sheet=A0&amp;row=62&amp;col=6&amp;number=&amp;sourceID=27","")</f>
        <v/>
      </c>
      <c r="G62" s="4" t="str">
        <f>HYPERLINK("http://141.218.60.56/~jnz1568/getInfo.php?workbook=10_02.xlsx&amp;sheet=A0&amp;row=62&amp;col=7&amp;number=243500000000&amp;sourceID=32","243500000000")</f>
        <v>243500000000</v>
      </c>
      <c r="H62" s="4" t="str">
        <f>HYPERLINK("http://141.218.60.56/~jnz1568/getInfo.php?workbook=10_02.xlsx&amp;sheet=A0&amp;row=62&amp;col=8&amp;number=&amp;sourceID=32","")</f>
        <v/>
      </c>
      <c r="I62" s="4" t="str">
        <f>HYPERLINK("http://141.218.60.56/~jnz1568/getInfo.php?workbook=10_02.xlsx&amp;sheet=A0&amp;row=62&amp;col=9&amp;number=&amp;sourceID=32","")</f>
        <v/>
      </c>
      <c r="J62" s="4" t="str">
        <f>HYPERLINK("http://141.218.60.56/~jnz1568/getInfo.php?workbook=10_02.xlsx&amp;sheet=A0&amp;row=62&amp;col=10&amp;number=&amp;sourceID=32","")</f>
        <v/>
      </c>
      <c r="K62" s="4" t="str">
        <f>HYPERLINK("http://141.218.60.56/~jnz1568/getInfo.php?workbook=10_02.xlsx&amp;sheet=A0&amp;row=62&amp;col=11&amp;number=72081000&amp;sourceID=46","72081000")</f>
        <v>72081000</v>
      </c>
      <c r="L62" s="4" t="str">
        <f>HYPERLINK("http://141.218.60.56/~jnz1568/getInfo.php?workbook=10_02.xlsx&amp;sheet=A0&amp;row=62&amp;col=12&amp;number=242000000000&amp;sourceID=47","242000000000")</f>
        <v>242000000000</v>
      </c>
    </row>
    <row r="63" spans="1:12">
      <c r="A63" s="3">
        <v>10</v>
      </c>
      <c r="B63" s="3">
        <v>2</v>
      </c>
      <c r="C63" s="3">
        <v>13</v>
      </c>
      <c r="D63" s="3">
        <v>4</v>
      </c>
      <c r="E63" s="3">
        <f>((1/(INDEX(E0!J$4:J$52,C63,1)-INDEX(E0!J$4:J$52,D63,1))))*100000000</f>
        <v>0</v>
      </c>
      <c r="F63" s="4" t="str">
        <f>HYPERLINK("http://141.218.60.56/~jnz1568/getInfo.php?workbook=10_02.xlsx&amp;sheet=A0&amp;row=63&amp;col=6&amp;number=&amp;sourceID=27","")</f>
        <v/>
      </c>
      <c r="G63" s="4" t="str">
        <f>HYPERLINK("http://141.218.60.56/~jnz1568/getInfo.php?workbook=10_02.xlsx&amp;sheet=A0&amp;row=63&amp;col=7&amp;number=182500000000&amp;sourceID=32","182500000000")</f>
        <v>182500000000</v>
      </c>
      <c r="H63" s="4" t="str">
        <f>HYPERLINK("http://141.218.60.56/~jnz1568/getInfo.php?workbook=10_02.xlsx&amp;sheet=A0&amp;row=63&amp;col=8&amp;number=&amp;sourceID=32","")</f>
        <v/>
      </c>
      <c r="I63" s="4" t="str">
        <f>HYPERLINK("http://141.218.60.56/~jnz1568/getInfo.php?workbook=10_02.xlsx&amp;sheet=A0&amp;row=63&amp;col=9&amp;number=&amp;sourceID=32","")</f>
        <v/>
      </c>
      <c r="J63" s="4" t="str">
        <f>HYPERLINK("http://141.218.60.56/~jnz1568/getInfo.php?workbook=10_02.xlsx&amp;sheet=A0&amp;row=63&amp;col=10&amp;number=182.3&amp;sourceID=32","182.3")</f>
        <v>182.3</v>
      </c>
      <c r="K63" s="4" t="str">
        <f>HYPERLINK("http://141.218.60.56/~jnz1568/getInfo.php?workbook=10_02.xlsx&amp;sheet=A0&amp;row=63&amp;col=11&amp;number=3.0215&amp;sourceID=46","3.0215")</f>
        <v>3.0215</v>
      </c>
      <c r="L63" s="4" t="str">
        <f>HYPERLINK("http://141.218.60.56/~jnz1568/getInfo.php?workbook=10_02.xlsx&amp;sheet=A0&amp;row=63&amp;col=12&amp;number=181000000000&amp;sourceID=47","181000000000")</f>
        <v>181000000000</v>
      </c>
    </row>
    <row r="64" spans="1:12">
      <c r="A64" s="3">
        <v>10</v>
      </c>
      <c r="B64" s="3">
        <v>2</v>
      </c>
      <c r="C64" s="3">
        <v>13</v>
      </c>
      <c r="D64" s="3">
        <v>5</v>
      </c>
      <c r="E64" s="3">
        <f>((1/(INDEX(E0!J$4:J$52,C64,1)-INDEX(E0!J$4:J$52,D64,1))))*100000000</f>
        <v>0</v>
      </c>
      <c r="F64" s="4" t="str">
        <f>HYPERLINK("http://141.218.60.56/~jnz1568/getInfo.php?workbook=10_02.xlsx&amp;sheet=A0&amp;row=64&amp;col=6&amp;number=&amp;sourceID=27","")</f>
        <v/>
      </c>
      <c r="G64" s="4" t="str">
        <f>HYPERLINK("http://141.218.60.56/~jnz1568/getInfo.php?workbook=10_02.xlsx&amp;sheet=A0&amp;row=64&amp;col=7&amp;number=12150000000&amp;sourceID=32","12150000000")</f>
        <v>12150000000</v>
      </c>
      <c r="H64" s="4" t="str">
        <f>HYPERLINK("http://141.218.60.56/~jnz1568/getInfo.php?workbook=10_02.xlsx&amp;sheet=A0&amp;row=64&amp;col=8&amp;number=&amp;sourceID=32","")</f>
        <v/>
      </c>
      <c r="I64" s="4" t="str">
        <f>HYPERLINK("http://141.218.60.56/~jnz1568/getInfo.php?workbook=10_02.xlsx&amp;sheet=A0&amp;row=64&amp;col=9&amp;number=&amp;sourceID=32","")</f>
        <v/>
      </c>
      <c r="J64" s="4" t="str">
        <f>HYPERLINK("http://141.218.60.56/~jnz1568/getInfo.php?workbook=10_02.xlsx&amp;sheet=A0&amp;row=64&amp;col=10&amp;number=0.0003551&amp;sourceID=32","0.0003551")</f>
        <v>0.0003551</v>
      </c>
      <c r="K64" s="4" t="str">
        <f>HYPERLINK("http://141.218.60.56/~jnz1568/getInfo.php?workbook=10_02.xlsx&amp;sheet=A0&amp;row=64&amp;col=11&amp;number=1129700&amp;sourceID=46","1129700")</f>
        <v>1129700</v>
      </c>
      <c r="L64" s="4" t="str">
        <f>HYPERLINK("http://141.218.60.56/~jnz1568/getInfo.php?workbook=10_02.xlsx&amp;sheet=A0&amp;row=64&amp;col=12&amp;number=12000000000&amp;sourceID=47","12000000000")</f>
        <v>12000000000</v>
      </c>
    </row>
    <row r="65" spans="1:12">
      <c r="A65" s="3">
        <v>10</v>
      </c>
      <c r="B65" s="3">
        <v>2</v>
      </c>
      <c r="C65" s="3">
        <v>13</v>
      </c>
      <c r="D65" s="3">
        <v>6</v>
      </c>
      <c r="E65" s="3">
        <f>((1/(INDEX(E0!J$4:J$52,C65,1)-INDEX(E0!J$4:J$52,D65,1))))*100000000</f>
        <v>0</v>
      </c>
      <c r="F65" s="4" t="str">
        <f>HYPERLINK("http://141.218.60.56/~jnz1568/getInfo.php?workbook=10_02.xlsx&amp;sheet=A0&amp;row=65&amp;col=6&amp;number=&amp;sourceID=27","")</f>
        <v/>
      </c>
      <c r="G65" s="4" t="str">
        <f>HYPERLINK("http://141.218.60.56/~jnz1568/getInfo.php?workbook=10_02.xlsx&amp;sheet=A0&amp;row=65&amp;col=7&amp;number=&amp;sourceID=32","")</f>
        <v/>
      </c>
      <c r="H65" s="4" t="str">
        <f>HYPERLINK("http://141.218.60.56/~jnz1568/getInfo.php?workbook=10_02.xlsx&amp;sheet=A0&amp;row=65&amp;col=8&amp;number=&amp;sourceID=32","")</f>
        <v/>
      </c>
      <c r="I65" s="4" t="str">
        <f>HYPERLINK("http://141.218.60.56/~jnz1568/getInfo.php?workbook=10_02.xlsx&amp;sheet=A0&amp;row=65&amp;col=9&amp;number=0.378&amp;sourceID=32","0.378")</f>
        <v>0.378</v>
      </c>
      <c r="J65" s="4" t="str">
        <f>HYPERLINK("http://141.218.60.56/~jnz1568/getInfo.php?workbook=10_02.xlsx&amp;sheet=A0&amp;row=65&amp;col=10&amp;number=&amp;sourceID=32","")</f>
        <v/>
      </c>
      <c r="K65" s="4" t="str">
        <f>HYPERLINK("http://141.218.60.56/~jnz1568/getInfo.php?workbook=10_02.xlsx&amp;sheet=A0&amp;row=65&amp;col=11&amp;number=821970&amp;sourceID=46","821970")</f>
        <v>821970</v>
      </c>
      <c r="L65" s="4" t="str">
        <f>HYPERLINK("http://141.218.60.56/~jnz1568/getInfo.php?workbook=10_02.xlsx&amp;sheet=A0&amp;row=65&amp;col=12&amp;number=&amp;sourceID=47","")</f>
        <v/>
      </c>
    </row>
    <row r="66" spans="1:12">
      <c r="A66" s="3">
        <v>10</v>
      </c>
      <c r="B66" s="3">
        <v>2</v>
      </c>
      <c r="C66" s="3">
        <v>13</v>
      </c>
      <c r="D66" s="3">
        <v>7</v>
      </c>
      <c r="E66" s="3">
        <f>((1/(INDEX(E0!J$4:J$52,C66,1)-INDEX(E0!J$4:J$52,D66,1))))*100000000</f>
        <v>0</v>
      </c>
      <c r="F66" s="4" t="str">
        <f>HYPERLINK("http://141.218.60.56/~jnz1568/getInfo.php?workbook=10_02.xlsx&amp;sheet=A0&amp;row=66&amp;col=6&amp;number=&amp;sourceID=27","")</f>
        <v/>
      </c>
      <c r="G66" s="4" t="str">
        <f>HYPERLINK("http://141.218.60.56/~jnz1568/getInfo.php?workbook=10_02.xlsx&amp;sheet=A0&amp;row=66&amp;col=7&amp;number=98920000&amp;sourceID=32","98920000")</f>
        <v>98920000</v>
      </c>
      <c r="H66" s="4" t="str">
        <f>HYPERLINK("http://141.218.60.56/~jnz1568/getInfo.php?workbook=10_02.xlsx&amp;sheet=A0&amp;row=66&amp;col=8&amp;number=&amp;sourceID=32","")</f>
        <v/>
      </c>
      <c r="I66" s="4" t="str">
        <f>HYPERLINK("http://141.218.60.56/~jnz1568/getInfo.php?workbook=10_02.xlsx&amp;sheet=A0&amp;row=66&amp;col=9&amp;number=&amp;sourceID=32","")</f>
        <v/>
      </c>
      <c r="J66" s="4" t="str">
        <f>HYPERLINK("http://141.218.60.56/~jnz1568/getInfo.php?workbook=10_02.xlsx&amp;sheet=A0&amp;row=66&amp;col=10&amp;number=71.43&amp;sourceID=32","71.43")</f>
        <v>71.43</v>
      </c>
      <c r="K66" s="4" t="str">
        <f>HYPERLINK("http://141.218.60.56/~jnz1568/getInfo.php?workbook=10_02.xlsx&amp;sheet=A0&amp;row=66&amp;col=11&amp;number=48125&amp;sourceID=46","48125")</f>
        <v>48125</v>
      </c>
      <c r="L66" s="4" t="str">
        <f>HYPERLINK("http://141.218.60.56/~jnz1568/getInfo.php?workbook=10_02.xlsx&amp;sheet=A0&amp;row=66&amp;col=12&amp;number=&amp;sourceID=47","")</f>
        <v/>
      </c>
    </row>
    <row r="67" spans="1:12">
      <c r="A67" s="3">
        <v>10</v>
      </c>
      <c r="B67" s="3">
        <v>2</v>
      </c>
      <c r="C67" s="3">
        <v>13</v>
      </c>
      <c r="D67" s="3">
        <v>8</v>
      </c>
      <c r="E67" s="3">
        <f>((1/(INDEX(E0!J$4:J$52,C67,1)-INDEX(E0!J$4:J$52,D67,1))))*100000000</f>
        <v>0</v>
      </c>
      <c r="F67" s="4" t="str">
        <f>HYPERLINK("http://141.218.60.56/~jnz1568/getInfo.php?workbook=10_02.xlsx&amp;sheet=A0&amp;row=67&amp;col=6&amp;number=&amp;sourceID=27","")</f>
        <v/>
      </c>
      <c r="G67" s="4" t="str">
        <f>HYPERLINK("http://141.218.60.56/~jnz1568/getInfo.php?workbook=10_02.xlsx&amp;sheet=A0&amp;row=67&amp;col=7&amp;number=&amp;sourceID=32","")</f>
        <v/>
      </c>
      <c r="H67" s="4" t="str">
        <f>HYPERLINK("http://141.218.60.56/~jnz1568/getInfo.php?workbook=10_02.xlsx&amp;sheet=A0&amp;row=67&amp;col=8&amp;number=2.884&amp;sourceID=32","2.884")</f>
        <v>2.884</v>
      </c>
      <c r="I67" s="4" t="str">
        <f>HYPERLINK("http://141.218.60.56/~jnz1568/getInfo.php?workbook=10_02.xlsx&amp;sheet=A0&amp;row=67&amp;col=9&amp;number=0.0002235&amp;sourceID=32","0.0002235")</f>
        <v>0.0002235</v>
      </c>
      <c r="J67" s="4" t="str">
        <f>HYPERLINK("http://141.218.60.56/~jnz1568/getInfo.php?workbook=10_02.xlsx&amp;sheet=A0&amp;row=67&amp;col=10&amp;number=&amp;sourceID=32","")</f>
        <v/>
      </c>
      <c r="K67" s="4" t="str">
        <f>HYPERLINK("http://141.218.60.56/~jnz1568/getInfo.php?workbook=10_02.xlsx&amp;sheet=A0&amp;row=67&amp;col=11&amp;number=&amp;sourceID=46","")</f>
        <v/>
      </c>
      <c r="L67" s="4" t="str">
        <f>HYPERLINK("http://141.218.60.56/~jnz1568/getInfo.php?workbook=10_02.xlsx&amp;sheet=A0&amp;row=67&amp;col=12&amp;number=&amp;sourceID=47","")</f>
        <v/>
      </c>
    </row>
    <row r="68" spans="1:12">
      <c r="A68" s="3">
        <v>10</v>
      </c>
      <c r="B68" s="3">
        <v>2</v>
      </c>
      <c r="C68" s="3">
        <v>13</v>
      </c>
      <c r="D68" s="3">
        <v>9</v>
      </c>
      <c r="E68" s="3">
        <f>((1/(INDEX(E0!J$4:J$52,C68,1)-INDEX(E0!J$4:J$52,D68,1))))*100000000</f>
        <v>0</v>
      </c>
      <c r="F68" s="4" t="str">
        <f>HYPERLINK("http://141.218.60.56/~jnz1568/getInfo.php?workbook=10_02.xlsx&amp;sheet=A0&amp;row=68&amp;col=6&amp;number=&amp;sourceID=27","")</f>
        <v/>
      </c>
      <c r="G68" s="4" t="str">
        <f>HYPERLINK("http://141.218.60.56/~jnz1568/getInfo.php?workbook=10_02.xlsx&amp;sheet=A0&amp;row=68&amp;col=7&amp;number=997900&amp;sourceID=32","997900")</f>
        <v>997900</v>
      </c>
      <c r="H68" s="4" t="str">
        <f>HYPERLINK("http://141.218.60.56/~jnz1568/getInfo.php?workbook=10_02.xlsx&amp;sheet=A0&amp;row=68&amp;col=8&amp;number=&amp;sourceID=32","")</f>
        <v/>
      </c>
      <c r="I68" s="4" t="str">
        <f>HYPERLINK("http://141.218.60.56/~jnz1568/getInfo.php?workbook=10_02.xlsx&amp;sheet=A0&amp;row=68&amp;col=9&amp;number=&amp;sourceID=32","")</f>
        <v/>
      </c>
      <c r="J68" s="4" t="str">
        <f>HYPERLINK("http://141.218.60.56/~jnz1568/getInfo.php?workbook=10_02.xlsx&amp;sheet=A0&amp;row=68&amp;col=10&amp;number=&amp;sourceID=32","")</f>
        <v/>
      </c>
      <c r="K68" s="4" t="str">
        <f>HYPERLINK("http://141.218.60.56/~jnz1568/getInfo.php?workbook=10_02.xlsx&amp;sheet=A0&amp;row=68&amp;col=11&amp;number=&amp;sourceID=46","")</f>
        <v/>
      </c>
      <c r="L68" s="4" t="str">
        <f>HYPERLINK("http://141.218.60.56/~jnz1568/getInfo.php?workbook=10_02.xlsx&amp;sheet=A0&amp;row=68&amp;col=12&amp;number=&amp;sourceID=47","")</f>
        <v/>
      </c>
    </row>
    <row r="69" spans="1:12">
      <c r="A69" s="3">
        <v>10</v>
      </c>
      <c r="B69" s="3">
        <v>2</v>
      </c>
      <c r="C69" s="3">
        <v>13</v>
      </c>
      <c r="D69" s="3">
        <v>10</v>
      </c>
      <c r="E69" s="3">
        <f>((1/(INDEX(E0!J$4:J$52,C69,1)-INDEX(E0!J$4:J$52,D69,1))))*100000000</f>
        <v>0</v>
      </c>
      <c r="F69" s="4" t="str">
        <f>HYPERLINK("http://141.218.60.56/~jnz1568/getInfo.php?workbook=10_02.xlsx&amp;sheet=A0&amp;row=69&amp;col=6&amp;number=&amp;sourceID=27","")</f>
        <v/>
      </c>
      <c r="G69" s="4" t="str">
        <f>HYPERLINK("http://141.218.60.56/~jnz1568/getInfo.php?workbook=10_02.xlsx&amp;sheet=A0&amp;row=69&amp;col=7&amp;number=730400&amp;sourceID=32","730400")</f>
        <v>730400</v>
      </c>
      <c r="H69" s="4" t="str">
        <f>HYPERLINK("http://141.218.60.56/~jnz1568/getInfo.php?workbook=10_02.xlsx&amp;sheet=A0&amp;row=69&amp;col=8&amp;number=&amp;sourceID=32","")</f>
        <v/>
      </c>
      <c r="I69" s="4" t="str">
        <f>HYPERLINK("http://141.218.60.56/~jnz1568/getInfo.php?workbook=10_02.xlsx&amp;sheet=A0&amp;row=69&amp;col=9&amp;number=&amp;sourceID=32","")</f>
        <v/>
      </c>
      <c r="J69" s="4" t="str">
        <f>HYPERLINK("http://141.218.60.56/~jnz1568/getInfo.php?workbook=10_02.xlsx&amp;sheet=A0&amp;row=69&amp;col=10&amp;number=6.405e-08&amp;sourceID=32","6.405e-08")</f>
        <v>6.405e-08</v>
      </c>
      <c r="K69" s="4" t="str">
        <f>HYPERLINK("http://141.218.60.56/~jnz1568/getInfo.php?workbook=10_02.xlsx&amp;sheet=A0&amp;row=69&amp;col=11&amp;number=&amp;sourceID=46","")</f>
        <v/>
      </c>
      <c r="L69" s="4" t="str">
        <f>HYPERLINK("http://141.218.60.56/~jnz1568/getInfo.php?workbook=10_02.xlsx&amp;sheet=A0&amp;row=69&amp;col=12&amp;number=&amp;sourceID=47","")</f>
        <v/>
      </c>
    </row>
    <row r="70" spans="1:12">
      <c r="A70" s="3">
        <v>10</v>
      </c>
      <c r="B70" s="3">
        <v>2</v>
      </c>
      <c r="C70" s="3">
        <v>13</v>
      </c>
      <c r="D70" s="3">
        <v>11</v>
      </c>
      <c r="E70" s="3">
        <f>((1/(INDEX(E0!J$4:J$52,C70,1)-INDEX(E0!J$4:J$52,D70,1))))*100000000</f>
        <v>0</v>
      </c>
      <c r="F70" s="4" t="str">
        <f>HYPERLINK("http://141.218.60.56/~jnz1568/getInfo.php?workbook=10_02.xlsx&amp;sheet=A0&amp;row=70&amp;col=6&amp;number=&amp;sourceID=27","")</f>
        <v/>
      </c>
      <c r="G70" s="4" t="str">
        <f>HYPERLINK("http://141.218.60.56/~jnz1568/getInfo.php?workbook=10_02.xlsx&amp;sheet=A0&amp;row=70&amp;col=7&amp;number=&amp;sourceID=32","")</f>
        <v/>
      </c>
      <c r="H70" s="4" t="str">
        <f>HYPERLINK("http://141.218.60.56/~jnz1568/getInfo.php?workbook=10_02.xlsx&amp;sheet=A0&amp;row=70&amp;col=8&amp;number=&amp;sourceID=32","")</f>
        <v/>
      </c>
      <c r="I70" s="4" t="str">
        <f>HYPERLINK("http://141.218.60.56/~jnz1568/getInfo.php?workbook=10_02.xlsx&amp;sheet=A0&amp;row=70&amp;col=9&amp;number=2.325e-08&amp;sourceID=32","2.325e-08")</f>
        <v>2.325e-08</v>
      </c>
      <c r="J70" s="4" t="str">
        <f>HYPERLINK("http://141.218.60.56/~jnz1568/getInfo.php?workbook=10_02.xlsx&amp;sheet=A0&amp;row=70&amp;col=10&amp;number=&amp;sourceID=32","")</f>
        <v/>
      </c>
      <c r="K70" s="4" t="str">
        <f>HYPERLINK("http://141.218.60.56/~jnz1568/getInfo.php?workbook=10_02.xlsx&amp;sheet=A0&amp;row=70&amp;col=11&amp;number=&amp;sourceID=46","")</f>
        <v/>
      </c>
      <c r="L70" s="4" t="str">
        <f>HYPERLINK("http://141.218.60.56/~jnz1568/getInfo.php?workbook=10_02.xlsx&amp;sheet=A0&amp;row=70&amp;col=12&amp;number=&amp;sourceID=47","")</f>
        <v/>
      </c>
    </row>
    <row r="71" spans="1:12">
      <c r="A71" s="3">
        <v>10</v>
      </c>
      <c r="B71" s="3">
        <v>2</v>
      </c>
      <c r="C71" s="3">
        <v>13</v>
      </c>
      <c r="D71" s="3">
        <v>12</v>
      </c>
      <c r="E71" s="3">
        <f>((1/(INDEX(E0!J$4:J$52,C71,1)-INDEX(E0!J$4:J$52,D71,1))))*100000000</f>
        <v>0</v>
      </c>
      <c r="F71" s="4" t="str">
        <f>HYPERLINK("http://141.218.60.56/~jnz1568/getInfo.php?workbook=10_02.xlsx&amp;sheet=A0&amp;row=71&amp;col=6&amp;number=&amp;sourceID=27","")</f>
        <v/>
      </c>
      <c r="G71" s="4" t="str">
        <f>HYPERLINK("http://141.218.60.56/~jnz1568/getInfo.php?workbook=10_02.xlsx&amp;sheet=A0&amp;row=71&amp;col=7&amp;number=43120&amp;sourceID=32","43120")</f>
        <v>43120</v>
      </c>
      <c r="H71" s="4" t="str">
        <f>HYPERLINK("http://141.218.60.56/~jnz1568/getInfo.php?workbook=10_02.xlsx&amp;sheet=A0&amp;row=71&amp;col=8&amp;number=&amp;sourceID=32","")</f>
        <v/>
      </c>
      <c r="I71" s="4" t="str">
        <f>HYPERLINK("http://141.218.60.56/~jnz1568/getInfo.php?workbook=10_02.xlsx&amp;sheet=A0&amp;row=71&amp;col=9&amp;number=&amp;sourceID=32","")</f>
        <v/>
      </c>
      <c r="J71" s="4" t="str">
        <f>HYPERLINK("http://141.218.60.56/~jnz1568/getInfo.php?workbook=10_02.xlsx&amp;sheet=A0&amp;row=71&amp;col=10&amp;number=1.13e-13&amp;sourceID=32","1.13e-13")</f>
        <v>1.13e-13</v>
      </c>
      <c r="K71" s="4" t="str">
        <f>HYPERLINK("http://141.218.60.56/~jnz1568/getInfo.php?workbook=10_02.xlsx&amp;sheet=A0&amp;row=71&amp;col=11&amp;number=&amp;sourceID=46","")</f>
        <v/>
      </c>
      <c r="L71" s="4" t="str">
        <f>HYPERLINK("http://141.218.60.56/~jnz1568/getInfo.php?workbook=10_02.xlsx&amp;sheet=A0&amp;row=71&amp;col=12&amp;number=&amp;sourceID=47","")</f>
        <v/>
      </c>
    </row>
    <row r="72" spans="1:12">
      <c r="A72" s="3">
        <v>10</v>
      </c>
      <c r="B72" s="3">
        <v>2</v>
      </c>
      <c r="C72" s="3">
        <v>14</v>
      </c>
      <c r="D72" s="3">
        <v>1</v>
      </c>
      <c r="E72" s="3">
        <f>((1/(INDEX(E0!J$4:J$52,C72,1)-INDEX(E0!J$4:J$52,D72,1))))*100000000</f>
        <v>0</v>
      </c>
      <c r="F72" s="4" t="str">
        <f>HYPERLINK("http://141.218.60.56/~jnz1568/getInfo.php?workbook=10_02.xlsx&amp;sheet=A0&amp;row=72&amp;col=6&amp;number=&amp;sourceID=27","")</f>
        <v/>
      </c>
      <c r="G72" s="4" t="str">
        <f>HYPERLINK("http://141.218.60.56/~jnz1568/getInfo.php?workbook=10_02.xlsx&amp;sheet=A0&amp;row=72&amp;col=7&amp;number=&amp;sourceID=32","")</f>
        <v/>
      </c>
      <c r="H72" s="4" t="str">
        <f>HYPERLINK("http://141.218.60.56/~jnz1568/getInfo.php?workbook=10_02.xlsx&amp;sheet=A0&amp;row=72&amp;col=8&amp;number=27800000&amp;sourceID=32","27800000")</f>
        <v>27800000</v>
      </c>
      <c r="I72" s="4" t="str">
        <f>HYPERLINK("http://141.218.60.56/~jnz1568/getInfo.php?workbook=10_02.xlsx&amp;sheet=A0&amp;row=72&amp;col=9&amp;number=&amp;sourceID=32","")</f>
        <v/>
      </c>
      <c r="J72" s="4" t="str">
        <f>HYPERLINK("http://141.218.60.56/~jnz1568/getInfo.php?workbook=10_02.xlsx&amp;sheet=A0&amp;row=72&amp;col=10&amp;number=&amp;sourceID=32","")</f>
        <v/>
      </c>
      <c r="K72" s="4" t="str">
        <f>HYPERLINK("http://141.218.60.56/~jnz1568/getInfo.php?workbook=10_02.xlsx&amp;sheet=A0&amp;row=72&amp;col=11&amp;number=17852000&amp;sourceID=46","17852000")</f>
        <v>17852000</v>
      </c>
      <c r="L72" s="4" t="str">
        <f>HYPERLINK("http://141.218.60.56/~jnz1568/getInfo.php?workbook=10_02.xlsx&amp;sheet=A0&amp;row=72&amp;col=12&amp;number=&amp;sourceID=47","")</f>
        <v/>
      </c>
    </row>
    <row r="73" spans="1:12">
      <c r="A73" s="3">
        <v>10</v>
      </c>
      <c r="B73" s="3">
        <v>2</v>
      </c>
      <c r="C73" s="3">
        <v>14</v>
      </c>
      <c r="D73" s="3">
        <v>2</v>
      </c>
      <c r="E73" s="3">
        <f>((1/(INDEX(E0!J$4:J$52,C73,1)-INDEX(E0!J$4:J$52,D73,1))))*100000000</f>
        <v>0</v>
      </c>
      <c r="F73" s="4" t="str">
        <f>HYPERLINK("http://141.218.60.56/~jnz1568/getInfo.php?workbook=10_02.xlsx&amp;sheet=A0&amp;row=73&amp;col=6&amp;number=&amp;sourceID=27","")</f>
        <v/>
      </c>
      <c r="G73" s="4" t="str">
        <f>HYPERLINK("http://141.218.60.56/~jnz1568/getInfo.php?workbook=10_02.xlsx&amp;sheet=A0&amp;row=73&amp;col=7&amp;number=&amp;sourceID=32","")</f>
        <v/>
      </c>
      <c r="H73" s="4" t="str">
        <f>HYPERLINK("http://141.218.60.56/~jnz1568/getInfo.php?workbook=10_02.xlsx&amp;sheet=A0&amp;row=73&amp;col=8&amp;number=33740000&amp;sourceID=32","33740000")</f>
        <v>33740000</v>
      </c>
      <c r="I73" s="4" t="str">
        <f>HYPERLINK("http://141.218.60.56/~jnz1568/getInfo.php?workbook=10_02.xlsx&amp;sheet=A0&amp;row=73&amp;col=9&amp;number=0.3381&amp;sourceID=32","0.3381")</f>
        <v>0.3381</v>
      </c>
      <c r="J73" s="4" t="str">
        <f>HYPERLINK("http://141.218.60.56/~jnz1568/getInfo.php?workbook=10_02.xlsx&amp;sheet=A0&amp;row=73&amp;col=10&amp;number=&amp;sourceID=32","")</f>
        <v/>
      </c>
      <c r="K73" s="4" t="str">
        <f>HYPERLINK("http://141.218.60.56/~jnz1568/getInfo.php?workbook=10_02.xlsx&amp;sheet=A0&amp;row=73&amp;col=11&amp;number=34301000&amp;sourceID=46","34301000")</f>
        <v>34301000</v>
      </c>
      <c r="L73" s="4" t="str">
        <f>HYPERLINK("http://141.218.60.56/~jnz1568/getInfo.php?workbook=10_02.xlsx&amp;sheet=A0&amp;row=73&amp;col=12&amp;number=&amp;sourceID=47","")</f>
        <v/>
      </c>
    </row>
    <row r="74" spans="1:12">
      <c r="A74" s="3">
        <v>10</v>
      </c>
      <c r="B74" s="3">
        <v>2</v>
      </c>
      <c r="C74" s="3">
        <v>14</v>
      </c>
      <c r="D74" s="3">
        <v>3</v>
      </c>
      <c r="E74" s="3">
        <f>((1/(INDEX(E0!J$4:J$52,C74,1)-INDEX(E0!J$4:J$52,D74,1))))*100000000</f>
        <v>0</v>
      </c>
      <c r="F74" s="4" t="str">
        <f>HYPERLINK("http://141.218.60.56/~jnz1568/getInfo.php?workbook=10_02.xlsx&amp;sheet=A0&amp;row=74&amp;col=6&amp;number=&amp;sourceID=27","")</f>
        <v/>
      </c>
      <c r="G74" s="4" t="str">
        <f>HYPERLINK("http://141.218.60.56/~jnz1568/getInfo.php?workbook=10_02.xlsx&amp;sheet=A0&amp;row=74&amp;col=7&amp;number=&amp;sourceID=32","")</f>
        <v/>
      </c>
      <c r="H74" s="4" t="str">
        <f>HYPERLINK("http://141.218.60.56/~jnz1568/getInfo.php?workbook=10_02.xlsx&amp;sheet=A0&amp;row=74&amp;col=8&amp;number=&amp;sourceID=32","")</f>
        <v/>
      </c>
      <c r="I74" s="4" t="str">
        <f>HYPERLINK("http://141.218.60.56/~jnz1568/getInfo.php?workbook=10_02.xlsx&amp;sheet=A0&amp;row=74&amp;col=9&amp;number=&amp;sourceID=32","")</f>
        <v/>
      </c>
      <c r="J74" s="4" t="str">
        <f>HYPERLINK("http://141.218.60.56/~jnz1568/getInfo.php?workbook=10_02.xlsx&amp;sheet=A0&amp;row=74&amp;col=10&amp;number=38.75&amp;sourceID=32","38.75")</f>
        <v>38.75</v>
      </c>
      <c r="K74" s="4" t="str">
        <f>HYPERLINK("http://141.218.60.56/~jnz1568/getInfo.php?workbook=10_02.xlsx&amp;sheet=A0&amp;row=74&amp;col=11&amp;number=59.89&amp;sourceID=46","59.89")</f>
        <v>59.89</v>
      </c>
      <c r="L74" s="4" t="str">
        <f>HYPERLINK("http://141.218.60.56/~jnz1568/getInfo.php?workbook=10_02.xlsx&amp;sheet=A0&amp;row=74&amp;col=12&amp;number=&amp;sourceID=47","")</f>
        <v/>
      </c>
    </row>
    <row r="75" spans="1:12">
      <c r="A75" s="3">
        <v>10</v>
      </c>
      <c r="B75" s="3">
        <v>2</v>
      </c>
      <c r="C75" s="3">
        <v>14</v>
      </c>
      <c r="D75" s="3">
        <v>4</v>
      </c>
      <c r="E75" s="3">
        <f>((1/(INDEX(E0!J$4:J$52,C75,1)-INDEX(E0!J$4:J$52,D75,1))))*100000000</f>
        <v>0</v>
      </c>
      <c r="F75" s="4" t="str">
        <f>HYPERLINK("http://141.218.60.56/~jnz1568/getInfo.php?workbook=10_02.xlsx&amp;sheet=A0&amp;row=75&amp;col=6&amp;number=&amp;sourceID=27","")</f>
        <v/>
      </c>
      <c r="G75" s="4" t="str">
        <f>HYPERLINK("http://141.218.60.56/~jnz1568/getInfo.php?workbook=10_02.xlsx&amp;sheet=A0&amp;row=75&amp;col=7&amp;number=318200000000&amp;sourceID=32","318200000000")</f>
        <v>318200000000</v>
      </c>
      <c r="H75" s="4" t="str">
        <f>HYPERLINK("http://141.218.60.56/~jnz1568/getInfo.php?workbook=10_02.xlsx&amp;sheet=A0&amp;row=75&amp;col=8&amp;number=&amp;sourceID=32","")</f>
        <v/>
      </c>
      <c r="I75" s="4" t="str">
        <f>HYPERLINK("http://141.218.60.56/~jnz1568/getInfo.php?workbook=10_02.xlsx&amp;sheet=A0&amp;row=75&amp;col=9&amp;number=&amp;sourceID=32","")</f>
        <v/>
      </c>
      <c r="J75" s="4" t="str">
        <f>HYPERLINK("http://141.218.60.56/~jnz1568/getInfo.php?workbook=10_02.xlsx&amp;sheet=A0&amp;row=75&amp;col=10&amp;number=1709&amp;sourceID=32","1709")</f>
        <v>1709</v>
      </c>
      <c r="K75" s="4" t="str">
        <f>HYPERLINK("http://141.218.60.56/~jnz1568/getInfo.php?workbook=10_02.xlsx&amp;sheet=A0&amp;row=75&amp;col=11&amp;number=323100000000&amp;sourceID=46","323100000000")</f>
        <v>323100000000</v>
      </c>
      <c r="L75" s="4" t="str">
        <f>HYPERLINK("http://141.218.60.56/~jnz1568/getInfo.php?workbook=10_02.xlsx&amp;sheet=A0&amp;row=75&amp;col=12&amp;number=318000000000&amp;sourceID=47","318000000000")</f>
        <v>318000000000</v>
      </c>
    </row>
    <row r="76" spans="1:12">
      <c r="A76" s="3">
        <v>10</v>
      </c>
      <c r="B76" s="3">
        <v>2</v>
      </c>
      <c r="C76" s="3">
        <v>14</v>
      </c>
      <c r="D76" s="3">
        <v>5</v>
      </c>
      <c r="E76" s="3">
        <f>((1/(INDEX(E0!J$4:J$52,C76,1)-INDEX(E0!J$4:J$52,D76,1))))*100000000</f>
        <v>0</v>
      </c>
      <c r="F76" s="4" t="str">
        <f>HYPERLINK("http://141.218.60.56/~jnz1568/getInfo.php?workbook=10_02.xlsx&amp;sheet=A0&amp;row=76&amp;col=6&amp;number=&amp;sourceID=27","")</f>
        <v/>
      </c>
      <c r="G76" s="4" t="str">
        <f>HYPERLINK("http://141.218.60.56/~jnz1568/getInfo.php?workbook=10_02.xlsx&amp;sheet=A0&amp;row=76&amp;col=7&amp;number=104800000000&amp;sourceID=32","104800000000")</f>
        <v>104800000000</v>
      </c>
      <c r="H76" s="4" t="str">
        <f>HYPERLINK("http://141.218.60.56/~jnz1568/getInfo.php?workbook=10_02.xlsx&amp;sheet=A0&amp;row=76&amp;col=8&amp;number=&amp;sourceID=32","")</f>
        <v/>
      </c>
      <c r="I76" s="4" t="str">
        <f>HYPERLINK("http://141.218.60.56/~jnz1568/getInfo.php?workbook=10_02.xlsx&amp;sheet=A0&amp;row=76&amp;col=9&amp;number=&amp;sourceID=32","")</f>
        <v/>
      </c>
      <c r="J76" s="4" t="str">
        <f>HYPERLINK("http://141.218.60.56/~jnz1568/getInfo.php?workbook=10_02.xlsx&amp;sheet=A0&amp;row=76&amp;col=10&amp;number=645&amp;sourceID=32","645")</f>
        <v>645</v>
      </c>
      <c r="K76" s="4" t="str">
        <f>HYPERLINK("http://141.218.60.56/~jnz1568/getInfo.php?workbook=10_02.xlsx&amp;sheet=A0&amp;row=76&amp;col=11&amp;number=106720000000&amp;sourceID=46","106720000000")</f>
        <v>106720000000</v>
      </c>
      <c r="L76" s="4" t="str">
        <f>HYPERLINK("http://141.218.60.56/~jnz1568/getInfo.php?workbook=10_02.xlsx&amp;sheet=A0&amp;row=76&amp;col=12&amp;number=104000000000&amp;sourceID=47","104000000000")</f>
        <v>104000000000</v>
      </c>
    </row>
    <row r="77" spans="1:12">
      <c r="A77" s="3">
        <v>10</v>
      </c>
      <c r="B77" s="3">
        <v>2</v>
      </c>
      <c r="C77" s="3">
        <v>14</v>
      </c>
      <c r="D77" s="3">
        <v>6</v>
      </c>
      <c r="E77" s="3">
        <f>((1/(INDEX(E0!J$4:J$52,C77,1)-INDEX(E0!J$4:J$52,D77,1))))*100000000</f>
        <v>0</v>
      </c>
      <c r="F77" s="4" t="str">
        <f>HYPERLINK("http://141.218.60.56/~jnz1568/getInfo.php?workbook=10_02.xlsx&amp;sheet=A0&amp;row=77&amp;col=6&amp;number=&amp;sourceID=27","")</f>
        <v/>
      </c>
      <c r="G77" s="4" t="str">
        <f>HYPERLINK("http://141.218.60.56/~jnz1568/getInfo.php?workbook=10_02.xlsx&amp;sheet=A0&amp;row=77&amp;col=7&amp;number=&amp;sourceID=32","")</f>
        <v/>
      </c>
      <c r="H77" s="4" t="str">
        <f>HYPERLINK("http://141.218.60.56/~jnz1568/getInfo.php?workbook=10_02.xlsx&amp;sheet=A0&amp;row=77&amp;col=8&amp;number=1260000&amp;sourceID=32","1260000")</f>
        <v>1260000</v>
      </c>
      <c r="I77" s="4" t="str">
        <f>HYPERLINK("http://141.218.60.56/~jnz1568/getInfo.php?workbook=10_02.xlsx&amp;sheet=A0&amp;row=77&amp;col=9&amp;number=&amp;sourceID=32","")</f>
        <v/>
      </c>
      <c r="J77" s="4" t="str">
        <f>HYPERLINK("http://141.218.60.56/~jnz1568/getInfo.php?workbook=10_02.xlsx&amp;sheet=A0&amp;row=77&amp;col=10&amp;number=&amp;sourceID=32","")</f>
        <v/>
      </c>
      <c r="K77" s="4" t="str">
        <f>HYPERLINK("http://141.218.60.56/~jnz1568/getInfo.php?workbook=10_02.xlsx&amp;sheet=A0&amp;row=77&amp;col=11&amp;number=801820&amp;sourceID=46","801820")</f>
        <v>801820</v>
      </c>
      <c r="L77" s="4" t="str">
        <f>HYPERLINK("http://141.218.60.56/~jnz1568/getInfo.php?workbook=10_02.xlsx&amp;sheet=A0&amp;row=77&amp;col=12&amp;number=&amp;sourceID=47","")</f>
        <v/>
      </c>
    </row>
    <row r="78" spans="1:12">
      <c r="A78" s="3">
        <v>10</v>
      </c>
      <c r="B78" s="3">
        <v>2</v>
      </c>
      <c r="C78" s="3">
        <v>14</v>
      </c>
      <c r="D78" s="3">
        <v>7</v>
      </c>
      <c r="E78" s="3">
        <f>((1/(INDEX(E0!J$4:J$52,C78,1)-INDEX(E0!J$4:J$52,D78,1))))*100000000</f>
        <v>0</v>
      </c>
      <c r="F78" s="4" t="str">
        <f>HYPERLINK("http://141.218.60.56/~jnz1568/getInfo.php?workbook=10_02.xlsx&amp;sheet=A0&amp;row=78&amp;col=6&amp;number=&amp;sourceID=27","")</f>
        <v/>
      </c>
      <c r="G78" s="4" t="str">
        <f>HYPERLINK("http://141.218.60.56/~jnz1568/getInfo.php?workbook=10_02.xlsx&amp;sheet=A0&amp;row=78&amp;col=7&amp;number=14480000000&amp;sourceID=32","14480000000")</f>
        <v>14480000000</v>
      </c>
      <c r="H78" s="4" t="str">
        <f>HYPERLINK("http://141.218.60.56/~jnz1568/getInfo.php?workbook=10_02.xlsx&amp;sheet=A0&amp;row=78&amp;col=8&amp;number=&amp;sourceID=32","")</f>
        <v/>
      </c>
      <c r="I78" s="4" t="str">
        <f>HYPERLINK("http://141.218.60.56/~jnz1568/getInfo.php?workbook=10_02.xlsx&amp;sheet=A0&amp;row=78&amp;col=9&amp;number=&amp;sourceID=32","")</f>
        <v/>
      </c>
      <c r="J78" s="4" t="str">
        <f>HYPERLINK("http://141.218.60.56/~jnz1568/getInfo.php?workbook=10_02.xlsx&amp;sheet=A0&amp;row=78&amp;col=10&amp;number=316.1&amp;sourceID=32","316.1")</f>
        <v>316.1</v>
      </c>
      <c r="K78" s="4" t="str">
        <f>HYPERLINK("http://141.218.60.56/~jnz1568/getInfo.php?workbook=10_02.xlsx&amp;sheet=A0&amp;row=78&amp;col=11&amp;number=9122900000&amp;sourceID=46","9122900000")</f>
        <v>9122900000</v>
      </c>
      <c r="L78" s="4" t="str">
        <f>HYPERLINK("http://141.218.60.56/~jnz1568/getInfo.php?workbook=10_02.xlsx&amp;sheet=A0&amp;row=78&amp;col=12&amp;number=&amp;sourceID=47","")</f>
        <v/>
      </c>
    </row>
    <row r="79" spans="1:12">
      <c r="A79" s="3">
        <v>10</v>
      </c>
      <c r="B79" s="3">
        <v>2</v>
      </c>
      <c r="C79" s="3">
        <v>14</v>
      </c>
      <c r="D79" s="3">
        <v>8</v>
      </c>
      <c r="E79" s="3">
        <f>((1/(INDEX(E0!J$4:J$52,C79,1)-INDEX(E0!J$4:J$52,D79,1))))*100000000</f>
        <v>0</v>
      </c>
      <c r="F79" s="4" t="str">
        <f>HYPERLINK("http://141.218.60.56/~jnz1568/getInfo.php?workbook=10_02.xlsx&amp;sheet=A0&amp;row=79&amp;col=6&amp;number=&amp;sourceID=27","")</f>
        <v/>
      </c>
      <c r="G79" s="4" t="str">
        <f>HYPERLINK("http://141.218.60.56/~jnz1568/getInfo.php?workbook=10_02.xlsx&amp;sheet=A0&amp;row=79&amp;col=7&amp;number=&amp;sourceID=32","")</f>
        <v/>
      </c>
      <c r="H79" s="4" t="str">
        <f>HYPERLINK("http://141.218.60.56/~jnz1568/getInfo.php?workbook=10_02.xlsx&amp;sheet=A0&amp;row=79&amp;col=8&amp;number=2.769&amp;sourceID=32","2.769")</f>
        <v>2.769</v>
      </c>
      <c r="I79" s="4" t="str">
        <f>HYPERLINK("http://141.218.60.56/~jnz1568/getInfo.php?workbook=10_02.xlsx&amp;sheet=A0&amp;row=79&amp;col=9&amp;number=5.881e-05&amp;sourceID=32","5.881e-05")</f>
        <v>5.881e-05</v>
      </c>
      <c r="J79" s="4" t="str">
        <f>HYPERLINK("http://141.218.60.56/~jnz1568/getInfo.php?workbook=10_02.xlsx&amp;sheet=A0&amp;row=79&amp;col=10&amp;number=&amp;sourceID=32","")</f>
        <v/>
      </c>
      <c r="K79" s="4" t="str">
        <f>HYPERLINK("http://141.218.60.56/~jnz1568/getInfo.php?workbook=10_02.xlsx&amp;sheet=A0&amp;row=79&amp;col=11&amp;number=2.9507&amp;sourceID=46","2.9507")</f>
        <v>2.9507</v>
      </c>
      <c r="L79" s="4" t="str">
        <f>HYPERLINK("http://141.218.60.56/~jnz1568/getInfo.php?workbook=10_02.xlsx&amp;sheet=A0&amp;row=79&amp;col=12&amp;number=&amp;sourceID=47","")</f>
        <v/>
      </c>
    </row>
    <row r="80" spans="1:12">
      <c r="A80" s="3">
        <v>10</v>
      </c>
      <c r="B80" s="3">
        <v>2</v>
      </c>
      <c r="C80" s="3">
        <v>14</v>
      </c>
      <c r="D80" s="3">
        <v>9</v>
      </c>
      <c r="E80" s="3">
        <f>((1/(INDEX(E0!J$4:J$52,C80,1)-INDEX(E0!J$4:J$52,D80,1))))*100000000</f>
        <v>0</v>
      </c>
      <c r="F80" s="4" t="str">
        <f>HYPERLINK("http://141.218.60.56/~jnz1568/getInfo.php?workbook=10_02.xlsx&amp;sheet=A0&amp;row=80&amp;col=6&amp;number=&amp;sourceID=27","")</f>
        <v/>
      </c>
      <c r="G80" s="4" t="str">
        <f>HYPERLINK("http://141.218.60.56/~jnz1568/getInfo.php?workbook=10_02.xlsx&amp;sheet=A0&amp;row=80&amp;col=7&amp;number=&amp;sourceID=32","")</f>
        <v/>
      </c>
      <c r="H80" s="4" t="str">
        <f>HYPERLINK("http://141.218.60.56/~jnz1568/getInfo.php?workbook=10_02.xlsx&amp;sheet=A0&amp;row=80&amp;col=8&amp;number=&amp;sourceID=32","")</f>
        <v/>
      </c>
      <c r="I80" s="4" t="str">
        <f>HYPERLINK("http://141.218.60.56/~jnz1568/getInfo.php?workbook=10_02.xlsx&amp;sheet=A0&amp;row=80&amp;col=9&amp;number=&amp;sourceID=32","")</f>
        <v/>
      </c>
      <c r="J80" s="4" t="str">
        <f>HYPERLINK("http://141.218.60.56/~jnz1568/getInfo.php?workbook=10_02.xlsx&amp;sheet=A0&amp;row=80&amp;col=10&amp;number=1.448e-08&amp;sourceID=32","1.448e-08")</f>
        <v>1.448e-08</v>
      </c>
      <c r="K80" s="4" t="str">
        <f>HYPERLINK("http://141.218.60.56/~jnz1568/getInfo.php?workbook=10_02.xlsx&amp;sheet=A0&amp;row=80&amp;col=11&amp;number=&amp;sourceID=46","")</f>
        <v/>
      </c>
      <c r="L80" s="4" t="str">
        <f>HYPERLINK("http://141.218.60.56/~jnz1568/getInfo.php?workbook=10_02.xlsx&amp;sheet=A0&amp;row=80&amp;col=12&amp;number=&amp;sourceID=47","")</f>
        <v/>
      </c>
    </row>
    <row r="81" spans="1:12">
      <c r="A81" s="3">
        <v>10</v>
      </c>
      <c r="B81" s="3">
        <v>2</v>
      </c>
      <c r="C81" s="3">
        <v>14</v>
      </c>
      <c r="D81" s="3">
        <v>10</v>
      </c>
      <c r="E81" s="3">
        <f>((1/(INDEX(E0!J$4:J$52,C81,1)-INDEX(E0!J$4:J$52,D81,1))))*100000000</f>
        <v>0</v>
      </c>
      <c r="F81" s="4" t="str">
        <f>HYPERLINK("http://141.218.60.56/~jnz1568/getInfo.php?workbook=10_02.xlsx&amp;sheet=A0&amp;row=81&amp;col=6&amp;number=&amp;sourceID=27","")</f>
        <v/>
      </c>
      <c r="G81" s="4" t="str">
        <f>HYPERLINK("http://141.218.60.56/~jnz1568/getInfo.php?workbook=10_02.xlsx&amp;sheet=A0&amp;row=81&amp;col=7&amp;number=1281000&amp;sourceID=32","1281000")</f>
        <v>1281000</v>
      </c>
      <c r="H81" s="4" t="str">
        <f>HYPERLINK("http://141.218.60.56/~jnz1568/getInfo.php?workbook=10_02.xlsx&amp;sheet=A0&amp;row=81&amp;col=8&amp;number=&amp;sourceID=32","")</f>
        <v/>
      </c>
      <c r="I81" s="4" t="str">
        <f>HYPERLINK("http://141.218.60.56/~jnz1568/getInfo.php?workbook=10_02.xlsx&amp;sheet=A0&amp;row=81&amp;col=9&amp;number=&amp;sourceID=32","")</f>
        <v/>
      </c>
      <c r="J81" s="4" t="str">
        <f>HYPERLINK("http://141.218.60.56/~jnz1568/getInfo.php?workbook=10_02.xlsx&amp;sheet=A0&amp;row=81&amp;col=10&amp;number=6.061e-07&amp;sourceID=32","6.061e-07")</f>
        <v>6.061e-07</v>
      </c>
      <c r="K81" s="4" t="str">
        <f>HYPERLINK("http://141.218.60.56/~jnz1568/getInfo.php?workbook=10_02.xlsx&amp;sheet=A0&amp;row=81&amp;col=11&amp;number=1460500&amp;sourceID=46","1460500")</f>
        <v>1460500</v>
      </c>
      <c r="L81" s="4" t="str">
        <f>HYPERLINK("http://141.218.60.56/~jnz1568/getInfo.php?workbook=10_02.xlsx&amp;sheet=A0&amp;row=81&amp;col=12&amp;number=&amp;sourceID=47","")</f>
        <v/>
      </c>
    </row>
    <row r="82" spans="1:12">
      <c r="A82" s="3">
        <v>10</v>
      </c>
      <c r="B82" s="3">
        <v>2</v>
      </c>
      <c r="C82" s="3">
        <v>14</v>
      </c>
      <c r="D82" s="3">
        <v>11</v>
      </c>
      <c r="E82" s="3">
        <f>((1/(INDEX(E0!J$4:J$52,C82,1)-INDEX(E0!J$4:J$52,D82,1))))*100000000</f>
        <v>0</v>
      </c>
      <c r="F82" s="4" t="str">
        <f>HYPERLINK("http://141.218.60.56/~jnz1568/getInfo.php?workbook=10_02.xlsx&amp;sheet=A0&amp;row=82&amp;col=6&amp;number=&amp;sourceID=27","")</f>
        <v/>
      </c>
      <c r="G82" s="4" t="str">
        <f>HYPERLINK("http://141.218.60.56/~jnz1568/getInfo.php?workbook=10_02.xlsx&amp;sheet=A0&amp;row=82&amp;col=7&amp;number=&amp;sourceID=32","")</f>
        <v/>
      </c>
      <c r="H82" s="4" t="str">
        <f>HYPERLINK("http://141.218.60.56/~jnz1568/getInfo.php?workbook=10_02.xlsx&amp;sheet=A0&amp;row=82&amp;col=8&amp;number=0.0006292&amp;sourceID=32","0.0006292")</f>
        <v>0.0006292</v>
      </c>
      <c r="I82" s="4" t="str">
        <f>HYPERLINK("http://141.218.60.56/~jnz1568/getInfo.php?workbook=10_02.xlsx&amp;sheet=A0&amp;row=82&amp;col=9&amp;number=&amp;sourceID=32","")</f>
        <v/>
      </c>
      <c r="J82" s="4" t="str">
        <f>HYPERLINK("http://141.218.60.56/~jnz1568/getInfo.php?workbook=10_02.xlsx&amp;sheet=A0&amp;row=82&amp;col=10&amp;number=&amp;sourceID=32","")</f>
        <v/>
      </c>
      <c r="K82" s="4" t="str">
        <f>HYPERLINK("http://141.218.60.56/~jnz1568/getInfo.php?workbook=10_02.xlsx&amp;sheet=A0&amp;row=82&amp;col=11&amp;number=&amp;sourceID=46","")</f>
        <v/>
      </c>
      <c r="L82" s="4" t="str">
        <f>HYPERLINK("http://141.218.60.56/~jnz1568/getInfo.php?workbook=10_02.xlsx&amp;sheet=A0&amp;row=82&amp;col=12&amp;number=&amp;sourceID=47","")</f>
        <v/>
      </c>
    </row>
    <row r="83" spans="1:12">
      <c r="A83" s="3">
        <v>10</v>
      </c>
      <c r="B83" s="3">
        <v>2</v>
      </c>
      <c r="C83" s="3">
        <v>14</v>
      </c>
      <c r="D83" s="3">
        <v>12</v>
      </c>
      <c r="E83" s="3">
        <f>((1/(INDEX(E0!J$4:J$52,C83,1)-INDEX(E0!J$4:J$52,D83,1))))*100000000</f>
        <v>0</v>
      </c>
      <c r="F83" s="4" t="str">
        <f>HYPERLINK("http://141.218.60.56/~jnz1568/getInfo.php?workbook=10_02.xlsx&amp;sheet=A0&amp;row=83&amp;col=6&amp;number=&amp;sourceID=27","")</f>
        <v/>
      </c>
      <c r="G83" s="4" t="str">
        <f>HYPERLINK("http://141.218.60.56/~jnz1568/getInfo.php?workbook=10_02.xlsx&amp;sheet=A0&amp;row=83&amp;col=7&amp;number=375300&amp;sourceID=32","375300")</f>
        <v>375300</v>
      </c>
      <c r="H83" s="4" t="str">
        <f>HYPERLINK("http://141.218.60.56/~jnz1568/getInfo.php?workbook=10_02.xlsx&amp;sheet=A0&amp;row=83&amp;col=8&amp;number=&amp;sourceID=32","")</f>
        <v/>
      </c>
      <c r="I83" s="4" t="str">
        <f>HYPERLINK("http://141.218.60.56/~jnz1568/getInfo.php?workbook=10_02.xlsx&amp;sheet=A0&amp;row=83&amp;col=9&amp;number=&amp;sourceID=32","")</f>
        <v/>
      </c>
      <c r="J83" s="4" t="str">
        <f>HYPERLINK("http://141.218.60.56/~jnz1568/getInfo.php?workbook=10_02.xlsx&amp;sheet=A0&amp;row=83&amp;col=10&amp;number=1.889e-07&amp;sourceID=32","1.889e-07")</f>
        <v>1.889e-07</v>
      </c>
      <c r="K83" s="4" t="str">
        <f>HYPERLINK("http://141.218.60.56/~jnz1568/getInfo.php?workbook=10_02.xlsx&amp;sheet=A0&amp;row=83&amp;col=11&amp;number=426180&amp;sourceID=46","426180")</f>
        <v>426180</v>
      </c>
      <c r="L83" s="4" t="str">
        <f>HYPERLINK("http://141.218.60.56/~jnz1568/getInfo.php?workbook=10_02.xlsx&amp;sheet=A0&amp;row=83&amp;col=12&amp;number=&amp;sourceID=47","")</f>
        <v/>
      </c>
    </row>
    <row r="84" spans="1:12">
      <c r="A84" s="3">
        <v>10</v>
      </c>
      <c r="B84" s="3">
        <v>2</v>
      </c>
      <c r="C84" s="3">
        <v>15</v>
      </c>
      <c r="D84" s="3">
        <v>2</v>
      </c>
      <c r="E84" s="3">
        <f>((1/(INDEX(E0!J$4:J$52,C84,1)-INDEX(E0!J$4:J$52,D84,1))))*100000000</f>
        <v>0</v>
      </c>
      <c r="F84" s="4" t="str">
        <f>HYPERLINK("http://141.218.60.56/~jnz1568/getInfo.php?workbook=10_02.xlsx&amp;sheet=A0&amp;row=84&amp;col=6&amp;number=&amp;sourceID=27","")</f>
        <v/>
      </c>
      <c r="G84" s="4" t="str">
        <f>HYPERLINK("http://141.218.60.56/~jnz1568/getInfo.php?workbook=10_02.xlsx&amp;sheet=A0&amp;row=84&amp;col=7&amp;number=&amp;sourceID=32","")</f>
        <v/>
      </c>
      <c r="H84" s="4" t="str">
        <f>HYPERLINK("http://141.218.60.56/~jnz1568/getInfo.php?workbook=10_02.xlsx&amp;sheet=A0&amp;row=84&amp;col=8&amp;number=35260000&amp;sourceID=32","35260000")</f>
        <v>35260000</v>
      </c>
      <c r="I84" s="4" t="str">
        <f>HYPERLINK("http://141.218.60.56/~jnz1568/getInfo.php?workbook=10_02.xlsx&amp;sheet=A0&amp;row=84&amp;col=9&amp;number=&amp;sourceID=32","")</f>
        <v/>
      </c>
      <c r="J84" s="4" t="str">
        <f>HYPERLINK("http://141.218.60.56/~jnz1568/getInfo.php?workbook=10_02.xlsx&amp;sheet=A0&amp;row=84&amp;col=10&amp;number=&amp;sourceID=32","")</f>
        <v/>
      </c>
      <c r="K84" s="4" t="str">
        <f>HYPERLINK("http://141.218.60.56/~jnz1568/getInfo.php?workbook=10_02.xlsx&amp;sheet=A0&amp;row=84&amp;col=11&amp;number=35273000&amp;sourceID=46","35273000")</f>
        <v>35273000</v>
      </c>
      <c r="L84" s="4" t="str">
        <f>HYPERLINK("http://141.218.60.56/~jnz1568/getInfo.php?workbook=10_02.xlsx&amp;sheet=A0&amp;row=84&amp;col=12&amp;number=&amp;sourceID=47","")</f>
        <v/>
      </c>
    </row>
    <row r="85" spans="1:12">
      <c r="A85" s="3">
        <v>10</v>
      </c>
      <c r="B85" s="3">
        <v>2</v>
      </c>
      <c r="C85" s="3">
        <v>15</v>
      </c>
      <c r="D85" s="3">
        <v>3</v>
      </c>
      <c r="E85" s="3">
        <f>((1/(INDEX(E0!J$4:J$52,C85,1)-INDEX(E0!J$4:J$52,D85,1))))*100000000</f>
        <v>0</v>
      </c>
      <c r="F85" s="4" t="str">
        <f>HYPERLINK("http://141.218.60.56/~jnz1568/getInfo.php?workbook=10_02.xlsx&amp;sheet=A0&amp;row=85&amp;col=6&amp;number=&amp;sourceID=27","")</f>
        <v/>
      </c>
      <c r="G85" s="4" t="str">
        <f>HYPERLINK("http://141.218.60.56/~jnz1568/getInfo.php?workbook=10_02.xlsx&amp;sheet=A0&amp;row=85&amp;col=7&amp;number=&amp;sourceID=32","")</f>
        <v/>
      </c>
      <c r="H85" s="4" t="str">
        <f>HYPERLINK("http://141.218.60.56/~jnz1568/getInfo.php?workbook=10_02.xlsx&amp;sheet=A0&amp;row=85&amp;col=8&amp;number=&amp;sourceID=32","")</f>
        <v/>
      </c>
      <c r="I85" s="4" t="str">
        <f>HYPERLINK("http://141.218.60.56/~jnz1568/getInfo.php?workbook=10_02.xlsx&amp;sheet=A0&amp;row=85&amp;col=9&amp;number=&amp;sourceID=32","")</f>
        <v/>
      </c>
      <c r="J85" s="4" t="str">
        <f>HYPERLINK("http://141.218.60.56/~jnz1568/getInfo.php?workbook=10_02.xlsx&amp;sheet=A0&amp;row=85&amp;col=10&amp;number=&amp;sourceID=32","")</f>
        <v/>
      </c>
      <c r="K85" s="4" t="str">
        <f>HYPERLINK("http://141.218.60.56/~jnz1568/getInfo.php?workbook=10_02.xlsx&amp;sheet=A0&amp;row=85&amp;col=11&amp;number=266.32&amp;sourceID=46","266.32")</f>
        <v>266.32</v>
      </c>
      <c r="L85" s="4" t="str">
        <f>HYPERLINK("http://141.218.60.56/~jnz1568/getInfo.php?workbook=10_02.xlsx&amp;sheet=A0&amp;row=85&amp;col=12&amp;number=&amp;sourceID=47","")</f>
        <v/>
      </c>
    </row>
    <row r="86" spans="1:12">
      <c r="A86" s="3">
        <v>10</v>
      </c>
      <c r="B86" s="3">
        <v>2</v>
      </c>
      <c r="C86" s="3">
        <v>15</v>
      </c>
      <c r="D86" s="3">
        <v>4</v>
      </c>
      <c r="E86" s="3">
        <f>((1/(INDEX(E0!J$4:J$52,C86,1)-INDEX(E0!J$4:J$52,D86,1))))*100000000</f>
        <v>0</v>
      </c>
      <c r="F86" s="4" t="str">
        <f>HYPERLINK("http://141.218.60.56/~jnz1568/getInfo.php?workbook=10_02.xlsx&amp;sheet=A0&amp;row=86&amp;col=6&amp;number=&amp;sourceID=27","")</f>
        <v/>
      </c>
      <c r="G86" s="4" t="str">
        <f>HYPERLINK("http://141.218.60.56/~jnz1568/getInfo.php?workbook=10_02.xlsx&amp;sheet=A0&amp;row=86&amp;col=7&amp;number=&amp;sourceID=32","")</f>
        <v/>
      </c>
      <c r="H86" s="4" t="str">
        <f>HYPERLINK("http://141.218.60.56/~jnz1568/getInfo.php?workbook=10_02.xlsx&amp;sheet=A0&amp;row=86&amp;col=8&amp;number=&amp;sourceID=32","")</f>
        <v/>
      </c>
      <c r="I86" s="4" t="str">
        <f>HYPERLINK("http://141.218.60.56/~jnz1568/getInfo.php?workbook=10_02.xlsx&amp;sheet=A0&amp;row=86&amp;col=9&amp;number=&amp;sourceID=32","")</f>
        <v/>
      </c>
      <c r="J86" s="4" t="str">
        <f>HYPERLINK("http://141.218.60.56/~jnz1568/getInfo.php?workbook=10_02.xlsx&amp;sheet=A0&amp;row=86&amp;col=10&amp;number=212.2&amp;sourceID=32","212.2")</f>
        <v>212.2</v>
      </c>
      <c r="K86" s="4" t="str">
        <f>HYPERLINK("http://141.218.60.56/~jnz1568/getInfo.php?workbook=10_02.xlsx&amp;sheet=A0&amp;row=86&amp;col=11&amp;number=740.61&amp;sourceID=46","740.61")</f>
        <v>740.61</v>
      </c>
      <c r="L86" s="4" t="str">
        <f>HYPERLINK("http://141.218.60.56/~jnz1568/getInfo.php?workbook=10_02.xlsx&amp;sheet=A0&amp;row=86&amp;col=12&amp;number=&amp;sourceID=47","")</f>
        <v/>
      </c>
    </row>
    <row r="87" spans="1:12">
      <c r="A87" s="3">
        <v>10</v>
      </c>
      <c r="B87" s="3">
        <v>2</v>
      </c>
      <c r="C87" s="3">
        <v>15</v>
      </c>
      <c r="D87" s="3">
        <v>5</v>
      </c>
      <c r="E87" s="3">
        <f>((1/(INDEX(E0!J$4:J$52,C87,1)-INDEX(E0!J$4:J$52,D87,1))))*100000000</f>
        <v>0</v>
      </c>
      <c r="F87" s="4" t="str">
        <f>HYPERLINK("http://141.218.60.56/~jnz1568/getInfo.php?workbook=10_02.xlsx&amp;sheet=A0&amp;row=87&amp;col=6&amp;number=&amp;sourceID=27","")</f>
        <v/>
      </c>
      <c r="G87" s="4" t="str">
        <f>HYPERLINK("http://141.218.60.56/~jnz1568/getInfo.php?workbook=10_02.xlsx&amp;sheet=A0&amp;row=87&amp;col=7&amp;number=437700000000&amp;sourceID=32","437700000000")</f>
        <v>437700000000</v>
      </c>
      <c r="H87" s="4" t="str">
        <f>HYPERLINK("http://141.218.60.56/~jnz1568/getInfo.php?workbook=10_02.xlsx&amp;sheet=A0&amp;row=87&amp;col=8&amp;number=&amp;sourceID=32","")</f>
        <v/>
      </c>
      <c r="I87" s="4" t="str">
        <f>HYPERLINK("http://141.218.60.56/~jnz1568/getInfo.php?workbook=10_02.xlsx&amp;sheet=A0&amp;row=87&amp;col=9&amp;number=&amp;sourceID=32","")</f>
        <v/>
      </c>
      <c r="J87" s="4" t="str">
        <f>HYPERLINK("http://141.218.60.56/~jnz1568/getInfo.php?workbook=10_02.xlsx&amp;sheet=A0&amp;row=87&amp;col=10&amp;number=8754&amp;sourceID=32","8754")</f>
        <v>8754</v>
      </c>
      <c r="K87" s="4" t="str">
        <f>HYPERLINK("http://141.218.60.56/~jnz1568/getInfo.php?workbook=10_02.xlsx&amp;sheet=A0&amp;row=87&amp;col=11&amp;number=438800000000&amp;sourceID=46","438800000000")</f>
        <v>438800000000</v>
      </c>
      <c r="L87" s="4" t="str">
        <f>HYPERLINK("http://141.218.60.56/~jnz1568/getInfo.php?workbook=10_02.xlsx&amp;sheet=A0&amp;row=87&amp;col=12&amp;number=433000000000&amp;sourceID=47","433000000000")</f>
        <v>433000000000</v>
      </c>
    </row>
    <row r="88" spans="1:12">
      <c r="A88" s="3">
        <v>10</v>
      </c>
      <c r="B88" s="3">
        <v>2</v>
      </c>
      <c r="C88" s="3">
        <v>15</v>
      </c>
      <c r="D88" s="3">
        <v>7</v>
      </c>
      <c r="E88" s="3">
        <f>((1/(INDEX(E0!J$4:J$52,C88,1)-INDEX(E0!J$4:J$52,D88,1))))*100000000</f>
        <v>0</v>
      </c>
      <c r="F88" s="4" t="str">
        <f>HYPERLINK("http://141.218.60.56/~jnz1568/getInfo.php?workbook=10_02.xlsx&amp;sheet=A0&amp;row=88&amp;col=6&amp;number=&amp;sourceID=27","")</f>
        <v/>
      </c>
      <c r="G88" s="4" t="str">
        <f>HYPERLINK("http://141.218.60.56/~jnz1568/getInfo.php?workbook=10_02.xlsx&amp;sheet=A0&amp;row=88&amp;col=7&amp;number=&amp;sourceID=32","")</f>
        <v/>
      </c>
      <c r="H88" s="4" t="str">
        <f>HYPERLINK("http://141.218.60.56/~jnz1568/getInfo.php?workbook=10_02.xlsx&amp;sheet=A0&amp;row=88&amp;col=8&amp;number=&amp;sourceID=32","")</f>
        <v/>
      </c>
      <c r="I88" s="4" t="str">
        <f>HYPERLINK("http://141.218.60.56/~jnz1568/getInfo.php?workbook=10_02.xlsx&amp;sheet=A0&amp;row=88&amp;col=9&amp;number=&amp;sourceID=32","")</f>
        <v/>
      </c>
      <c r="J88" s="4" t="str">
        <f>HYPERLINK("http://141.218.60.56/~jnz1568/getInfo.php?workbook=10_02.xlsx&amp;sheet=A0&amp;row=88&amp;col=10&amp;number=2728&amp;sourceID=32","2728")</f>
        <v>2728</v>
      </c>
      <c r="K88" s="4" t="str">
        <f>HYPERLINK("http://141.218.60.56/~jnz1568/getInfo.php?workbook=10_02.xlsx&amp;sheet=A0&amp;row=88&amp;col=11&amp;number=2704.4&amp;sourceID=46","2704.4")</f>
        <v>2704.4</v>
      </c>
      <c r="L88" s="4" t="str">
        <f>HYPERLINK("http://141.218.60.56/~jnz1568/getInfo.php?workbook=10_02.xlsx&amp;sheet=A0&amp;row=88&amp;col=12&amp;number=&amp;sourceID=47","")</f>
        <v/>
      </c>
    </row>
    <row r="89" spans="1:12">
      <c r="A89" s="3">
        <v>10</v>
      </c>
      <c r="B89" s="3">
        <v>2</v>
      </c>
      <c r="C89" s="3">
        <v>15</v>
      </c>
      <c r="D89" s="3">
        <v>8</v>
      </c>
      <c r="E89" s="3">
        <f>((1/(INDEX(E0!J$4:J$52,C89,1)-INDEX(E0!J$4:J$52,D89,1))))*100000000</f>
        <v>0</v>
      </c>
      <c r="F89" s="4" t="str">
        <f>HYPERLINK("http://141.218.60.56/~jnz1568/getInfo.php?workbook=10_02.xlsx&amp;sheet=A0&amp;row=89&amp;col=6&amp;number=&amp;sourceID=27","")</f>
        <v/>
      </c>
      <c r="G89" s="4" t="str">
        <f>HYPERLINK("http://141.218.60.56/~jnz1568/getInfo.php?workbook=10_02.xlsx&amp;sheet=A0&amp;row=89&amp;col=7&amp;number=&amp;sourceID=32","")</f>
        <v/>
      </c>
      <c r="H89" s="4" t="str">
        <f>HYPERLINK("http://141.218.60.56/~jnz1568/getInfo.php?workbook=10_02.xlsx&amp;sheet=A0&amp;row=89&amp;col=8&amp;number=2.962&amp;sourceID=32","2.962")</f>
        <v>2.962</v>
      </c>
      <c r="I89" s="4" t="str">
        <f>HYPERLINK("http://141.218.60.56/~jnz1568/getInfo.php?workbook=10_02.xlsx&amp;sheet=A0&amp;row=89&amp;col=9&amp;number=&amp;sourceID=32","")</f>
        <v/>
      </c>
      <c r="J89" s="4" t="str">
        <f>HYPERLINK("http://141.218.60.56/~jnz1568/getInfo.php?workbook=10_02.xlsx&amp;sheet=A0&amp;row=89&amp;col=10&amp;number=&amp;sourceID=32","")</f>
        <v/>
      </c>
      <c r="K89" s="4" t="str">
        <f>HYPERLINK("http://141.218.60.56/~jnz1568/getInfo.php?workbook=10_02.xlsx&amp;sheet=A0&amp;row=89&amp;col=11&amp;number=3.1027&amp;sourceID=46","3.1027")</f>
        <v>3.1027</v>
      </c>
      <c r="L89" s="4" t="str">
        <f>HYPERLINK("http://141.218.60.56/~jnz1568/getInfo.php?workbook=10_02.xlsx&amp;sheet=A0&amp;row=89&amp;col=12&amp;number=&amp;sourceID=47","")</f>
        <v/>
      </c>
    </row>
    <row r="90" spans="1:12">
      <c r="A90" s="3">
        <v>10</v>
      </c>
      <c r="B90" s="3">
        <v>2</v>
      </c>
      <c r="C90" s="3">
        <v>15</v>
      </c>
      <c r="D90" s="3">
        <v>10</v>
      </c>
      <c r="E90" s="3">
        <f>((1/(INDEX(E0!J$4:J$52,C90,1)-INDEX(E0!J$4:J$52,D90,1))))*100000000</f>
        <v>0</v>
      </c>
      <c r="F90" s="4" t="str">
        <f>HYPERLINK("http://141.218.60.56/~jnz1568/getInfo.php?workbook=10_02.xlsx&amp;sheet=A0&amp;row=90&amp;col=6&amp;number=&amp;sourceID=27","")</f>
        <v/>
      </c>
      <c r="G90" s="4" t="str">
        <f>HYPERLINK("http://141.218.60.56/~jnz1568/getInfo.php?workbook=10_02.xlsx&amp;sheet=A0&amp;row=90&amp;col=7&amp;number=&amp;sourceID=32","")</f>
        <v/>
      </c>
      <c r="H90" s="4" t="str">
        <f>HYPERLINK("http://141.218.60.56/~jnz1568/getInfo.php?workbook=10_02.xlsx&amp;sheet=A0&amp;row=90&amp;col=8&amp;number=&amp;sourceID=32","")</f>
        <v/>
      </c>
      <c r="I90" s="4" t="str">
        <f>HYPERLINK("http://141.218.60.56/~jnz1568/getInfo.php?workbook=10_02.xlsx&amp;sheet=A0&amp;row=90&amp;col=9&amp;number=&amp;sourceID=32","")</f>
        <v/>
      </c>
      <c r="J90" s="4" t="str">
        <f>HYPERLINK("http://141.218.60.56/~jnz1568/getInfo.php?workbook=10_02.xlsx&amp;sheet=A0&amp;row=90&amp;col=10&amp;number=8.141e-08&amp;sourceID=32","8.141e-08")</f>
        <v>8.141e-08</v>
      </c>
      <c r="K90" s="4" t="str">
        <f>HYPERLINK("http://141.218.60.56/~jnz1568/getInfo.php?workbook=10_02.xlsx&amp;sheet=A0&amp;row=90&amp;col=11&amp;number=&amp;sourceID=46","")</f>
        <v/>
      </c>
      <c r="L90" s="4" t="str">
        <f>HYPERLINK("http://141.218.60.56/~jnz1568/getInfo.php?workbook=10_02.xlsx&amp;sheet=A0&amp;row=90&amp;col=12&amp;number=&amp;sourceID=47","")</f>
        <v/>
      </c>
    </row>
    <row r="91" spans="1:12">
      <c r="A91" s="3">
        <v>10</v>
      </c>
      <c r="B91" s="3">
        <v>2</v>
      </c>
      <c r="C91" s="3">
        <v>15</v>
      </c>
      <c r="D91" s="3">
        <v>12</v>
      </c>
      <c r="E91" s="3">
        <f>((1/(INDEX(E0!J$4:J$52,C91,1)-INDEX(E0!J$4:J$52,D91,1))))*100000000</f>
        <v>0</v>
      </c>
      <c r="F91" s="4" t="str">
        <f>HYPERLINK("http://141.218.60.56/~jnz1568/getInfo.php?workbook=10_02.xlsx&amp;sheet=A0&amp;row=91&amp;col=6&amp;number=&amp;sourceID=27","")</f>
        <v/>
      </c>
      <c r="G91" s="4" t="str">
        <f>HYPERLINK("http://141.218.60.56/~jnz1568/getInfo.php?workbook=10_02.xlsx&amp;sheet=A0&amp;row=91&amp;col=7&amp;number=1632000&amp;sourceID=32","1632000")</f>
        <v>1632000</v>
      </c>
      <c r="H91" s="4" t="str">
        <f>HYPERLINK("http://141.218.60.56/~jnz1568/getInfo.php?workbook=10_02.xlsx&amp;sheet=A0&amp;row=91&amp;col=8&amp;number=&amp;sourceID=32","")</f>
        <v/>
      </c>
      <c r="I91" s="4" t="str">
        <f>HYPERLINK("http://141.218.60.56/~jnz1568/getInfo.php?workbook=10_02.xlsx&amp;sheet=A0&amp;row=91&amp;col=9&amp;number=&amp;sourceID=32","")</f>
        <v/>
      </c>
      <c r="J91" s="4" t="str">
        <f>HYPERLINK("http://141.218.60.56/~jnz1568/getInfo.php?workbook=10_02.xlsx&amp;sheet=A0&amp;row=91&amp;col=10&amp;number=2.739e-06&amp;sourceID=32","2.739e-06")</f>
        <v>2.739e-06</v>
      </c>
      <c r="K91" s="4" t="str">
        <f>HYPERLINK("http://141.218.60.56/~jnz1568/getInfo.php?workbook=10_02.xlsx&amp;sheet=A0&amp;row=91&amp;col=11&amp;number=1818900&amp;sourceID=46","1818900")</f>
        <v>1818900</v>
      </c>
      <c r="L91" s="4" t="str">
        <f>HYPERLINK("http://141.218.60.56/~jnz1568/getInfo.php?workbook=10_02.xlsx&amp;sheet=A0&amp;row=91&amp;col=12&amp;number=&amp;sourceID=47","")</f>
        <v/>
      </c>
    </row>
    <row r="92" spans="1:12">
      <c r="A92" s="3">
        <v>10</v>
      </c>
      <c r="B92" s="3">
        <v>2</v>
      </c>
      <c r="C92" s="3">
        <v>15</v>
      </c>
      <c r="D92" s="3">
        <v>13</v>
      </c>
      <c r="E92" s="3">
        <f>((1/(INDEX(E0!J$4:J$52,C92,1)-INDEX(E0!J$4:J$52,D92,1))))*100000000</f>
        <v>0</v>
      </c>
      <c r="F92" s="4" t="str">
        <f>HYPERLINK("http://141.218.60.56/~jnz1568/getInfo.php?workbook=10_02.xlsx&amp;sheet=A0&amp;row=92&amp;col=6&amp;number=&amp;sourceID=27","")</f>
        <v/>
      </c>
      <c r="G92" s="4" t="str">
        <f>HYPERLINK("http://141.218.60.56/~jnz1568/getInfo.php?workbook=10_02.xlsx&amp;sheet=A0&amp;row=92&amp;col=7&amp;number=&amp;sourceID=32","")</f>
        <v/>
      </c>
      <c r="H92" s="4" t="str">
        <f>HYPERLINK("http://141.218.60.56/~jnz1568/getInfo.php?workbook=10_02.xlsx&amp;sheet=A0&amp;row=92&amp;col=8&amp;number=3.75e-13&amp;sourceID=32","3.75e-13")</f>
        <v>3.75e-13</v>
      </c>
      <c r="I92" s="4" t="str">
        <f>HYPERLINK("http://141.218.60.56/~jnz1568/getInfo.php?workbook=10_02.xlsx&amp;sheet=A0&amp;row=92&amp;col=9&amp;number=&amp;sourceID=32","")</f>
        <v/>
      </c>
      <c r="J92" s="4" t="str">
        <f>HYPERLINK("http://141.218.60.56/~jnz1568/getInfo.php?workbook=10_02.xlsx&amp;sheet=A0&amp;row=92&amp;col=10&amp;number=&amp;sourceID=32","")</f>
        <v/>
      </c>
      <c r="K92" s="4" t="str">
        <f>HYPERLINK("http://141.218.60.56/~jnz1568/getInfo.php?workbook=10_02.xlsx&amp;sheet=A0&amp;row=92&amp;col=11&amp;number=&amp;sourceID=46","")</f>
        <v/>
      </c>
      <c r="L92" s="4" t="str">
        <f>HYPERLINK("http://141.218.60.56/~jnz1568/getInfo.php?workbook=10_02.xlsx&amp;sheet=A0&amp;row=92&amp;col=12&amp;number=&amp;sourceID=47","")</f>
        <v/>
      </c>
    </row>
    <row r="93" spans="1:12">
      <c r="A93" s="3">
        <v>10</v>
      </c>
      <c r="B93" s="3">
        <v>2</v>
      </c>
      <c r="C93" s="3">
        <v>15</v>
      </c>
      <c r="D93" s="3">
        <v>14</v>
      </c>
      <c r="E93" s="3">
        <f>((1/(INDEX(E0!J$4:J$52,C93,1)-INDEX(E0!J$4:J$52,D93,1))))*100000000</f>
        <v>0</v>
      </c>
      <c r="F93" s="4" t="str">
        <f>HYPERLINK("http://141.218.60.56/~jnz1568/getInfo.php?workbook=10_02.xlsx&amp;sheet=A0&amp;row=93&amp;col=6&amp;number=&amp;sourceID=27","")</f>
        <v/>
      </c>
      <c r="G93" s="4" t="str">
        <f>HYPERLINK("http://141.218.60.56/~jnz1568/getInfo.php?workbook=10_02.xlsx&amp;sheet=A0&amp;row=93&amp;col=7&amp;number=&amp;sourceID=32","")</f>
        <v/>
      </c>
      <c r="H93" s="4" t="str">
        <f>HYPERLINK("http://141.218.60.56/~jnz1568/getInfo.php?workbook=10_02.xlsx&amp;sheet=A0&amp;row=93&amp;col=8&amp;number=1.791e-12&amp;sourceID=32","1.791e-12")</f>
        <v>1.791e-12</v>
      </c>
      <c r="I93" s="4" t="str">
        <f>HYPERLINK("http://141.218.60.56/~jnz1568/getInfo.php?workbook=10_02.xlsx&amp;sheet=A0&amp;row=93&amp;col=9&amp;number=6.201e-05&amp;sourceID=32","6.201e-05")</f>
        <v>6.201e-05</v>
      </c>
      <c r="J93" s="4" t="str">
        <f>HYPERLINK("http://141.218.60.56/~jnz1568/getInfo.php?workbook=10_02.xlsx&amp;sheet=A0&amp;row=93&amp;col=10&amp;number=&amp;sourceID=32","")</f>
        <v/>
      </c>
      <c r="K93" s="4" t="str">
        <f>HYPERLINK("http://141.218.60.56/~jnz1568/getInfo.php?workbook=10_02.xlsx&amp;sheet=A0&amp;row=93&amp;col=11&amp;number=&amp;sourceID=46","")</f>
        <v/>
      </c>
      <c r="L93" s="4" t="str">
        <f>HYPERLINK("http://141.218.60.56/~jnz1568/getInfo.php?workbook=10_02.xlsx&amp;sheet=A0&amp;row=93&amp;col=12&amp;number=&amp;sourceID=47","")</f>
        <v/>
      </c>
    </row>
    <row r="94" spans="1:12">
      <c r="A94" s="3">
        <v>10</v>
      </c>
      <c r="B94" s="3">
        <v>2</v>
      </c>
      <c r="C94" s="3">
        <v>16</v>
      </c>
      <c r="D94" s="3">
        <v>1</v>
      </c>
      <c r="E94" s="3">
        <f>((1/(INDEX(E0!J$4:J$52,C94,1)-INDEX(E0!J$4:J$52,D94,1))))*100000000</f>
        <v>0</v>
      </c>
      <c r="F94" s="4" t="str">
        <f>HYPERLINK("http://141.218.60.56/~jnz1568/getInfo.php?workbook=10_02.xlsx&amp;sheet=A0&amp;row=94&amp;col=6&amp;number=&amp;sourceID=27","")</f>
        <v/>
      </c>
      <c r="G94" s="4" t="str">
        <f>HYPERLINK("http://141.218.60.56/~jnz1568/getInfo.php?workbook=10_02.xlsx&amp;sheet=A0&amp;row=94&amp;col=7&amp;number=&amp;sourceID=32","")</f>
        <v/>
      </c>
      <c r="H94" s="4" t="str">
        <f>HYPERLINK("http://141.218.60.56/~jnz1568/getInfo.php?workbook=10_02.xlsx&amp;sheet=A0&amp;row=94&amp;col=8&amp;number=619900000&amp;sourceID=32","619900000")</f>
        <v>619900000</v>
      </c>
      <c r="I94" s="4" t="str">
        <f>HYPERLINK("http://141.218.60.56/~jnz1568/getInfo.php?workbook=10_02.xlsx&amp;sheet=A0&amp;row=94&amp;col=9&amp;number=&amp;sourceID=32","")</f>
        <v/>
      </c>
      <c r="J94" s="4" t="str">
        <f>HYPERLINK("http://141.218.60.56/~jnz1568/getInfo.php?workbook=10_02.xlsx&amp;sheet=A0&amp;row=94&amp;col=10&amp;number=&amp;sourceID=32","")</f>
        <v/>
      </c>
      <c r="K94" s="4" t="str">
        <f>HYPERLINK("http://141.218.60.56/~jnz1568/getInfo.php?workbook=10_02.xlsx&amp;sheet=A0&amp;row=94&amp;col=11&amp;number=631120000&amp;sourceID=46","631120000")</f>
        <v>631120000</v>
      </c>
      <c r="L94" s="4" t="str">
        <f>HYPERLINK("http://141.218.60.56/~jnz1568/getInfo.php?workbook=10_02.xlsx&amp;sheet=A0&amp;row=94&amp;col=12&amp;number=&amp;sourceID=47","")</f>
        <v/>
      </c>
    </row>
    <row r="95" spans="1:12">
      <c r="A95" s="3">
        <v>10</v>
      </c>
      <c r="B95" s="3">
        <v>2</v>
      </c>
      <c r="C95" s="3">
        <v>16</v>
      </c>
      <c r="D95" s="3">
        <v>2</v>
      </c>
      <c r="E95" s="3">
        <f>((1/(INDEX(E0!J$4:J$52,C95,1)-INDEX(E0!J$4:J$52,D95,1))))*100000000</f>
        <v>0</v>
      </c>
      <c r="F95" s="4" t="str">
        <f>HYPERLINK("http://141.218.60.56/~jnz1568/getInfo.php?workbook=10_02.xlsx&amp;sheet=A0&amp;row=95&amp;col=6&amp;number=&amp;sourceID=27","")</f>
        <v/>
      </c>
      <c r="G95" s="4" t="str">
        <f>HYPERLINK("http://141.218.60.56/~jnz1568/getInfo.php?workbook=10_02.xlsx&amp;sheet=A0&amp;row=95&amp;col=7&amp;number=&amp;sourceID=32","")</f>
        <v/>
      </c>
      <c r="H95" s="4" t="str">
        <f>HYPERLINK("http://141.218.60.56/~jnz1568/getInfo.php?workbook=10_02.xlsx&amp;sheet=A0&amp;row=95&amp;col=8&amp;number=1506000&amp;sourceID=32","1506000")</f>
        <v>1506000</v>
      </c>
      <c r="I95" s="4" t="str">
        <f>HYPERLINK("http://141.218.60.56/~jnz1568/getInfo.php?workbook=10_02.xlsx&amp;sheet=A0&amp;row=95&amp;col=9&amp;number=0.1752&amp;sourceID=32","0.1752")</f>
        <v>0.1752</v>
      </c>
      <c r="J95" s="4" t="str">
        <f>HYPERLINK("http://141.218.60.56/~jnz1568/getInfo.php?workbook=10_02.xlsx&amp;sheet=A0&amp;row=95&amp;col=10&amp;number=&amp;sourceID=32","")</f>
        <v/>
      </c>
      <c r="K95" s="4" t="str">
        <f>HYPERLINK("http://141.218.60.56/~jnz1568/getInfo.php?workbook=10_02.xlsx&amp;sheet=A0&amp;row=95&amp;col=11&amp;number=963290&amp;sourceID=46","963290")</f>
        <v>963290</v>
      </c>
      <c r="L95" s="4" t="str">
        <f>HYPERLINK("http://141.218.60.56/~jnz1568/getInfo.php?workbook=10_02.xlsx&amp;sheet=A0&amp;row=95&amp;col=12&amp;number=&amp;sourceID=47","")</f>
        <v/>
      </c>
    </row>
    <row r="96" spans="1:12">
      <c r="A96" s="3">
        <v>10</v>
      </c>
      <c r="B96" s="3">
        <v>2</v>
      </c>
      <c r="C96" s="3">
        <v>16</v>
      </c>
      <c r="D96" s="3">
        <v>3</v>
      </c>
      <c r="E96" s="3">
        <f>((1/(INDEX(E0!J$4:J$52,C96,1)-INDEX(E0!J$4:J$52,D96,1))))*100000000</f>
        <v>0</v>
      </c>
      <c r="F96" s="4" t="str">
        <f>HYPERLINK("http://141.218.60.56/~jnz1568/getInfo.php?workbook=10_02.xlsx&amp;sheet=A0&amp;row=96&amp;col=6&amp;number=&amp;sourceID=27","")</f>
        <v/>
      </c>
      <c r="G96" s="4" t="str">
        <f>HYPERLINK("http://141.218.60.56/~jnz1568/getInfo.php?workbook=10_02.xlsx&amp;sheet=A0&amp;row=96&amp;col=7&amp;number=&amp;sourceID=32","")</f>
        <v/>
      </c>
      <c r="H96" s="4" t="str">
        <f>HYPERLINK("http://141.218.60.56/~jnz1568/getInfo.php?workbook=10_02.xlsx&amp;sheet=A0&amp;row=96&amp;col=8&amp;number=&amp;sourceID=32","")</f>
        <v/>
      </c>
      <c r="I96" s="4" t="str">
        <f>HYPERLINK("http://141.218.60.56/~jnz1568/getInfo.php?workbook=10_02.xlsx&amp;sheet=A0&amp;row=96&amp;col=9&amp;number=&amp;sourceID=32","")</f>
        <v/>
      </c>
      <c r="J96" s="4" t="str">
        <f>HYPERLINK("http://141.218.60.56/~jnz1568/getInfo.php?workbook=10_02.xlsx&amp;sheet=A0&amp;row=96&amp;col=10&amp;number=1197&amp;sourceID=32","1197")</f>
        <v>1197</v>
      </c>
      <c r="K96" s="4" t="str">
        <f>HYPERLINK("http://141.218.60.56/~jnz1568/getInfo.php?workbook=10_02.xlsx&amp;sheet=A0&amp;row=96&amp;col=11&amp;number=1179.4&amp;sourceID=46","1179.4")</f>
        <v>1179.4</v>
      </c>
      <c r="L96" s="4" t="str">
        <f>HYPERLINK("http://141.218.60.56/~jnz1568/getInfo.php?workbook=10_02.xlsx&amp;sheet=A0&amp;row=96&amp;col=12&amp;number=&amp;sourceID=47","")</f>
        <v/>
      </c>
    </row>
    <row r="97" spans="1:12">
      <c r="A97" s="3">
        <v>10</v>
      </c>
      <c r="B97" s="3">
        <v>2</v>
      </c>
      <c r="C97" s="3">
        <v>16</v>
      </c>
      <c r="D97" s="3">
        <v>4</v>
      </c>
      <c r="E97" s="3">
        <f>((1/(INDEX(E0!J$4:J$52,C97,1)-INDEX(E0!J$4:J$52,D97,1))))*100000000</f>
        <v>0</v>
      </c>
      <c r="F97" s="4" t="str">
        <f>HYPERLINK("http://141.218.60.56/~jnz1568/getInfo.php?workbook=10_02.xlsx&amp;sheet=A0&amp;row=97&amp;col=6&amp;number=&amp;sourceID=27","")</f>
        <v/>
      </c>
      <c r="G97" s="4" t="str">
        <f>HYPERLINK("http://141.218.60.56/~jnz1568/getInfo.php?workbook=10_02.xlsx&amp;sheet=A0&amp;row=97&amp;col=7&amp;number=10600000000&amp;sourceID=32","10600000000")</f>
        <v>10600000000</v>
      </c>
      <c r="H97" s="4" t="str">
        <f>HYPERLINK("http://141.218.60.56/~jnz1568/getInfo.php?workbook=10_02.xlsx&amp;sheet=A0&amp;row=97&amp;col=8&amp;number=&amp;sourceID=32","")</f>
        <v/>
      </c>
      <c r="I97" s="4" t="str">
        <f>HYPERLINK("http://141.218.60.56/~jnz1568/getInfo.php?workbook=10_02.xlsx&amp;sheet=A0&amp;row=97&amp;col=9&amp;number=&amp;sourceID=32","")</f>
        <v/>
      </c>
      <c r="J97" s="4" t="str">
        <f>HYPERLINK("http://141.218.60.56/~jnz1568/getInfo.php?workbook=10_02.xlsx&amp;sheet=A0&amp;row=97&amp;col=10&amp;number=3306&amp;sourceID=32","3306")</f>
        <v>3306</v>
      </c>
      <c r="K97" s="4" t="str">
        <f>HYPERLINK("http://141.218.60.56/~jnz1568/getInfo.php?workbook=10_02.xlsx&amp;sheet=A0&amp;row=97&amp;col=11&amp;number=6599700000&amp;sourceID=46","6599700000")</f>
        <v>6599700000</v>
      </c>
      <c r="L97" s="4" t="str">
        <f>HYPERLINK("http://141.218.60.56/~jnz1568/getInfo.php?workbook=10_02.xlsx&amp;sheet=A0&amp;row=97&amp;col=12&amp;number=&amp;sourceID=47","")</f>
        <v/>
      </c>
    </row>
    <row r="98" spans="1:12">
      <c r="A98" s="3">
        <v>10</v>
      </c>
      <c r="B98" s="3">
        <v>2</v>
      </c>
      <c r="C98" s="3">
        <v>16</v>
      </c>
      <c r="D98" s="3">
        <v>5</v>
      </c>
      <c r="E98" s="3">
        <f>((1/(INDEX(E0!J$4:J$52,C98,1)-INDEX(E0!J$4:J$52,D98,1))))*100000000</f>
        <v>0</v>
      </c>
      <c r="F98" s="4" t="str">
        <f>HYPERLINK("http://141.218.60.56/~jnz1568/getInfo.php?workbook=10_02.xlsx&amp;sheet=A0&amp;row=98&amp;col=6&amp;number=&amp;sourceID=27","")</f>
        <v/>
      </c>
      <c r="G98" s="4" t="str">
        <f>HYPERLINK("http://141.218.60.56/~jnz1568/getInfo.php?workbook=10_02.xlsx&amp;sheet=A0&amp;row=98&amp;col=7&amp;number=4669000000&amp;sourceID=32","4669000000")</f>
        <v>4669000000</v>
      </c>
      <c r="H98" s="4" t="str">
        <f>HYPERLINK("http://141.218.60.56/~jnz1568/getInfo.php?workbook=10_02.xlsx&amp;sheet=A0&amp;row=98&amp;col=8&amp;number=&amp;sourceID=32","")</f>
        <v/>
      </c>
      <c r="I98" s="4" t="str">
        <f>HYPERLINK("http://141.218.60.56/~jnz1568/getInfo.php?workbook=10_02.xlsx&amp;sheet=A0&amp;row=98&amp;col=9&amp;number=&amp;sourceID=32","")</f>
        <v/>
      </c>
      <c r="J98" s="4" t="str">
        <f>HYPERLINK("http://141.218.60.56/~jnz1568/getInfo.php?workbook=10_02.xlsx&amp;sheet=A0&amp;row=98&amp;col=10&amp;number=2430&amp;sourceID=32","2430")</f>
        <v>2430</v>
      </c>
      <c r="K98" s="4" t="str">
        <f>HYPERLINK("http://141.218.60.56/~jnz1568/getInfo.php?workbook=10_02.xlsx&amp;sheet=A0&amp;row=98&amp;col=11&amp;number=2990100000&amp;sourceID=46","2990100000")</f>
        <v>2990100000</v>
      </c>
      <c r="L98" s="4" t="str">
        <f>HYPERLINK("http://141.218.60.56/~jnz1568/getInfo.php?workbook=10_02.xlsx&amp;sheet=A0&amp;row=98&amp;col=12&amp;number=&amp;sourceID=47","")</f>
        <v/>
      </c>
    </row>
    <row r="99" spans="1:12">
      <c r="A99" s="3">
        <v>10</v>
      </c>
      <c r="B99" s="3">
        <v>2</v>
      </c>
      <c r="C99" s="3">
        <v>16</v>
      </c>
      <c r="D99" s="3">
        <v>6</v>
      </c>
      <c r="E99" s="3">
        <f>((1/(INDEX(E0!J$4:J$52,C99,1)-INDEX(E0!J$4:J$52,D99,1))))*100000000</f>
        <v>0</v>
      </c>
      <c r="F99" s="4" t="str">
        <f>HYPERLINK("http://141.218.60.56/~jnz1568/getInfo.php?workbook=10_02.xlsx&amp;sheet=A0&amp;row=99&amp;col=6&amp;number=&amp;sourceID=27","")</f>
        <v/>
      </c>
      <c r="G99" s="4" t="str">
        <f>HYPERLINK("http://141.218.60.56/~jnz1568/getInfo.php?workbook=10_02.xlsx&amp;sheet=A0&amp;row=99&amp;col=7&amp;number=&amp;sourceID=32","")</f>
        <v/>
      </c>
      <c r="H99" s="4" t="str">
        <f>HYPERLINK("http://141.218.60.56/~jnz1568/getInfo.php?workbook=10_02.xlsx&amp;sheet=A0&amp;row=99&amp;col=8&amp;number=28340000&amp;sourceID=32","28340000")</f>
        <v>28340000</v>
      </c>
      <c r="I99" s="4" t="str">
        <f>HYPERLINK("http://141.218.60.56/~jnz1568/getInfo.php?workbook=10_02.xlsx&amp;sheet=A0&amp;row=99&amp;col=9&amp;number=&amp;sourceID=32","")</f>
        <v/>
      </c>
      <c r="J99" s="4" t="str">
        <f>HYPERLINK("http://141.218.60.56/~jnz1568/getInfo.php?workbook=10_02.xlsx&amp;sheet=A0&amp;row=99&amp;col=10&amp;number=&amp;sourceID=32","")</f>
        <v/>
      </c>
      <c r="K99" s="4" t="str">
        <f>HYPERLINK("http://141.218.60.56/~jnz1568/getInfo.php?workbook=10_02.xlsx&amp;sheet=A0&amp;row=99&amp;col=11&amp;number=28697000&amp;sourceID=46","28697000")</f>
        <v>28697000</v>
      </c>
      <c r="L99" s="4" t="str">
        <f>HYPERLINK("http://141.218.60.56/~jnz1568/getInfo.php?workbook=10_02.xlsx&amp;sheet=A0&amp;row=99&amp;col=12&amp;number=&amp;sourceID=47","")</f>
        <v/>
      </c>
    </row>
    <row r="100" spans="1:12">
      <c r="A100" s="3">
        <v>10</v>
      </c>
      <c r="B100" s="3">
        <v>2</v>
      </c>
      <c r="C100" s="3">
        <v>16</v>
      </c>
      <c r="D100" s="3">
        <v>7</v>
      </c>
      <c r="E100" s="3">
        <f>((1/(INDEX(E0!J$4:J$52,C100,1)-INDEX(E0!J$4:J$52,D100,1))))*100000000</f>
        <v>0</v>
      </c>
      <c r="F100" s="4" t="str">
        <f>HYPERLINK("http://141.218.60.56/~jnz1568/getInfo.php?workbook=10_02.xlsx&amp;sheet=A0&amp;row=100&amp;col=6&amp;number=&amp;sourceID=27","")</f>
        <v/>
      </c>
      <c r="G100" s="4" t="str">
        <f>HYPERLINK("http://141.218.60.56/~jnz1568/getInfo.php?workbook=10_02.xlsx&amp;sheet=A0&amp;row=100&amp;col=7&amp;number=402900000000&amp;sourceID=32","402900000000")</f>
        <v>402900000000</v>
      </c>
      <c r="H100" s="4" t="str">
        <f>HYPERLINK("http://141.218.60.56/~jnz1568/getInfo.php?workbook=10_02.xlsx&amp;sheet=A0&amp;row=100&amp;col=8&amp;number=&amp;sourceID=32","")</f>
        <v/>
      </c>
      <c r="I100" s="4" t="str">
        <f>HYPERLINK("http://141.218.60.56/~jnz1568/getInfo.php?workbook=10_02.xlsx&amp;sheet=A0&amp;row=100&amp;col=9&amp;number=&amp;sourceID=32","")</f>
        <v/>
      </c>
      <c r="J100" s="4" t="str">
        <f>HYPERLINK("http://141.218.60.56/~jnz1568/getInfo.php?workbook=10_02.xlsx&amp;sheet=A0&amp;row=100&amp;col=10&amp;number=2368&amp;sourceID=32","2368")</f>
        <v>2368</v>
      </c>
      <c r="K100" s="4" t="str">
        <f>HYPERLINK("http://141.218.60.56/~jnz1568/getInfo.php?workbook=10_02.xlsx&amp;sheet=A0&amp;row=100&amp;col=11&amp;number=409210000000&amp;sourceID=46","409210000000")</f>
        <v>409210000000</v>
      </c>
      <c r="L100" s="4" t="str">
        <f>HYPERLINK("http://141.218.60.56/~jnz1568/getInfo.php?workbook=10_02.xlsx&amp;sheet=A0&amp;row=100&amp;col=12&amp;number=409000000000&amp;sourceID=47","409000000000")</f>
        <v>409000000000</v>
      </c>
    </row>
    <row r="101" spans="1:12">
      <c r="A101" s="3">
        <v>10</v>
      </c>
      <c r="B101" s="3">
        <v>2</v>
      </c>
      <c r="C101" s="3">
        <v>16</v>
      </c>
      <c r="D101" s="3">
        <v>8</v>
      </c>
      <c r="E101" s="3">
        <f>((1/(INDEX(E0!J$4:J$52,C101,1)-INDEX(E0!J$4:J$52,D101,1))))*100000000</f>
        <v>0</v>
      </c>
      <c r="F101" s="4" t="str">
        <f>HYPERLINK("http://141.218.60.56/~jnz1568/getInfo.php?workbook=10_02.xlsx&amp;sheet=A0&amp;row=101&amp;col=6&amp;number=&amp;sourceID=27","")</f>
        <v/>
      </c>
      <c r="G101" s="4" t="str">
        <f>HYPERLINK("http://141.218.60.56/~jnz1568/getInfo.php?workbook=10_02.xlsx&amp;sheet=A0&amp;row=101&amp;col=7&amp;number=&amp;sourceID=32","")</f>
        <v/>
      </c>
      <c r="H101" s="4" t="str">
        <f>HYPERLINK("http://141.218.60.56/~jnz1568/getInfo.php?workbook=10_02.xlsx&amp;sheet=A0&amp;row=101&amp;col=8&amp;number=0.1371&amp;sourceID=32","0.1371")</f>
        <v>0.1371</v>
      </c>
      <c r="I101" s="4" t="str">
        <f>HYPERLINK("http://141.218.60.56/~jnz1568/getInfo.php?workbook=10_02.xlsx&amp;sheet=A0&amp;row=101&amp;col=9&amp;number=1.047e-06&amp;sourceID=32","1.047e-06")</f>
        <v>1.047e-06</v>
      </c>
      <c r="J101" s="4" t="str">
        <f>HYPERLINK("http://141.218.60.56/~jnz1568/getInfo.php?workbook=10_02.xlsx&amp;sheet=A0&amp;row=101&amp;col=10&amp;number=&amp;sourceID=32","")</f>
        <v/>
      </c>
      <c r="K101" s="4" t="str">
        <f>HYPERLINK("http://141.218.60.56/~jnz1568/getInfo.php?workbook=10_02.xlsx&amp;sheet=A0&amp;row=101&amp;col=11&amp;number=&amp;sourceID=46","")</f>
        <v/>
      </c>
      <c r="L101" s="4" t="str">
        <f>HYPERLINK("http://141.218.60.56/~jnz1568/getInfo.php?workbook=10_02.xlsx&amp;sheet=A0&amp;row=101&amp;col=12&amp;number=&amp;sourceID=47","")</f>
        <v/>
      </c>
    </row>
    <row r="102" spans="1:12">
      <c r="A102" s="3">
        <v>10</v>
      </c>
      <c r="B102" s="3">
        <v>2</v>
      </c>
      <c r="C102" s="3">
        <v>16</v>
      </c>
      <c r="D102" s="3">
        <v>9</v>
      </c>
      <c r="E102" s="3">
        <f>((1/(INDEX(E0!J$4:J$52,C102,1)-INDEX(E0!J$4:J$52,D102,1))))*100000000</f>
        <v>0</v>
      </c>
      <c r="F102" s="4" t="str">
        <f>HYPERLINK("http://141.218.60.56/~jnz1568/getInfo.php?workbook=10_02.xlsx&amp;sheet=A0&amp;row=102&amp;col=6&amp;number=&amp;sourceID=27","")</f>
        <v/>
      </c>
      <c r="G102" s="4" t="str">
        <f>HYPERLINK("http://141.218.60.56/~jnz1568/getInfo.php?workbook=10_02.xlsx&amp;sheet=A0&amp;row=102&amp;col=7&amp;number=&amp;sourceID=32","")</f>
        <v/>
      </c>
      <c r="H102" s="4" t="str">
        <f>HYPERLINK("http://141.218.60.56/~jnz1568/getInfo.php?workbook=10_02.xlsx&amp;sheet=A0&amp;row=102&amp;col=8&amp;number=&amp;sourceID=32","")</f>
        <v/>
      </c>
      <c r="I102" s="4" t="str">
        <f>HYPERLINK("http://141.218.60.56/~jnz1568/getInfo.php?workbook=10_02.xlsx&amp;sheet=A0&amp;row=102&amp;col=9&amp;number=&amp;sourceID=32","")</f>
        <v/>
      </c>
      <c r="J102" s="4" t="str">
        <f>HYPERLINK("http://141.218.60.56/~jnz1568/getInfo.php?workbook=10_02.xlsx&amp;sheet=A0&amp;row=102&amp;col=10&amp;number=5.834e-07&amp;sourceID=32","5.834e-07")</f>
        <v>5.834e-07</v>
      </c>
      <c r="K102" s="4" t="str">
        <f>HYPERLINK("http://141.218.60.56/~jnz1568/getInfo.php?workbook=10_02.xlsx&amp;sheet=A0&amp;row=102&amp;col=11&amp;number=&amp;sourceID=46","")</f>
        <v/>
      </c>
      <c r="L102" s="4" t="str">
        <f>HYPERLINK("http://141.218.60.56/~jnz1568/getInfo.php?workbook=10_02.xlsx&amp;sheet=A0&amp;row=102&amp;col=12&amp;number=&amp;sourceID=47","")</f>
        <v/>
      </c>
    </row>
    <row r="103" spans="1:12">
      <c r="A103" s="3">
        <v>10</v>
      </c>
      <c r="B103" s="3">
        <v>2</v>
      </c>
      <c r="C103" s="3">
        <v>16</v>
      </c>
      <c r="D103" s="3">
        <v>10</v>
      </c>
      <c r="E103" s="3">
        <f>((1/(INDEX(E0!J$4:J$52,C103,1)-INDEX(E0!J$4:J$52,D103,1))))*100000000</f>
        <v>0</v>
      </c>
      <c r="F103" s="4" t="str">
        <f>HYPERLINK("http://141.218.60.56/~jnz1568/getInfo.php?workbook=10_02.xlsx&amp;sheet=A0&amp;row=103&amp;col=6&amp;number=&amp;sourceID=27","")</f>
        <v/>
      </c>
      <c r="G103" s="4" t="str">
        <f>HYPERLINK("http://141.218.60.56/~jnz1568/getInfo.php?workbook=10_02.xlsx&amp;sheet=A0&amp;row=103&amp;col=7&amp;number=49570&amp;sourceID=32","49570")</f>
        <v>49570</v>
      </c>
      <c r="H103" s="4" t="str">
        <f>HYPERLINK("http://141.218.60.56/~jnz1568/getInfo.php?workbook=10_02.xlsx&amp;sheet=A0&amp;row=103&amp;col=8&amp;number=&amp;sourceID=32","")</f>
        <v/>
      </c>
      <c r="I103" s="4" t="str">
        <f>HYPERLINK("http://141.218.60.56/~jnz1568/getInfo.php?workbook=10_02.xlsx&amp;sheet=A0&amp;row=103&amp;col=9&amp;number=&amp;sourceID=32","")</f>
        <v/>
      </c>
      <c r="J103" s="4" t="str">
        <f>HYPERLINK("http://141.218.60.56/~jnz1568/getInfo.php?workbook=10_02.xlsx&amp;sheet=A0&amp;row=103&amp;col=10&amp;number=1.547e-06&amp;sourceID=32","1.547e-06")</f>
        <v>1.547e-06</v>
      </c>
      <c r="K103" s="4" t="str">
        <f>HYPERLINK("http://141.218.60.56/~jnz1568/getInfo.php?workbook=10_02.xlsx&amp;sheet=A0&amp;row=103&amp;col=11&amp;number=36210&amp;sourceID=46","36210")</f>
        <v>36210</v>
      </c>
      <c r="L103" s="4" t="str">
        <f>HYPERLINK("http://141.218.60.56/~jnz1568/getInfo.php?workbook=10_02.xlsx&amp;sheet=A0&amp;row=103&amp;col=12&amp;number=&amp;sourceID=47","")</f>
        <v/>
      </c>
    </row>
    <row r="104" spans="1:12">
      <c r="A104" s="3">
        <v>10</v>
      </c>
      <c r="B104" s="3">
        <v>2</v>
      </c>
      <c r="C104" s="3">
        <v>16</v>
      </c>
      <c r="D104" s="3">
        <v>11</v>
      </c>
      <c r="E104" s="3">
        <f>((1/(INDEX(E0!J$4:J$52,C104,1)-INDEX(E0!J$4:J$52,D104,1))))*100000000</f>
        <v>0</v>
      </c>
      <c r="F104" s="4" t="str">
        <f>HYPERLINK("http://141.218.60.56/~jnz1568/getInfo.php?workbook=10_02.xlsx&amp;sheet=A0&amp;row=104&amp;col=6&amp;number=&amp;sourceID=27","")</f>
        <v/>
      </c>
      <c r="G104" s="4" t="str">
        <f>HYPERLINK("http://141.218.60.56/~jnz1568/getInfo.php?workbook=10_02.xlsx&amp;sheet=A0&amp;row=104&amp;col=7&amp;number=&amp;sourceID=32","")</f>
        <v/>
      </c>
      <c r="H104" s="4" t="str">
        <f>HYPERLINK("http://141.218.60.56/~jnz1568/getInfo.php?workbook=10_02.xlsx&amp;sheet=A0&amp;row=104&amp;col=8&amp;number=0.01892&amp;sourceID=32","0.01892")</f>
        <v>0.01892</v>
      </c>
      <c r="I104" s="4" t="str">
        <f>HYPERLINK("http://141.218.60.56/~jnz1568/getInfo.php?workbook=10_02.xlsx&amp;sheet=A0&amp;row=104&amp;col=9&amp;number=&amp;sourceID=32","")</f>
        <v/>
      </c>
      <c r="J104" s="4" t="str">
        <f>HYPERLINK("http://141.218.60.56/~jnz1568/getInfo.php?workbook=10_02.xlsx&amp;sheet=A0&amp;row=104&amp;col=10&amp;number=&amp;sourceID=32","")</f>
        <v/>
      </c>
      <c r="K104" s="4" t="str">
        <f>HYPERLINK("http://141.218.60.56/~jnz1568/getInfo.php?workbook=10_02.xlsx&amp;sheet=A0&amp;row=104&amp;col=11&amp;number=&amp;sourceID=46","")</f>
        <v/>
      </c>
      <c r="L104" s="4" t="str">
        <f>HYPERLINK("http://141.218.60.56/~jnz1568/getInfo.php?workbook=10_02.xlsx&amp;sheet=A0&amp;row=104&amp;col=12&amp;number=&amp;sourceID=47","")</f>
        <v/>
      </c>
    </row>
    <row r="105" spans="1:12">
      <c r="A105" s="3">
        <v>10</v>
      </c>
      <c r="B105" s="3">
        <v>2</v>
      </c>
      <c r="C105" s="3">
        <v>16</v>
      </c>
      <c r="D105" s="3">
        <v>12</v>
      </c>
      <c r="E105" s="3">
        <f>((1/(INDEX(E0!J$4:J$52,C105,1)-INDEX(E0!J$4:J$52,D105,1))))*100000000</f>
        <v>0</v>
      </c>
      <c r="F105" s="4" t="str">
        <f>HYPERLINK("http://141.218.60.56/~jnz1568/getInfo.php?workbook=10_02.xlsx&amp;sheet=A0&amp;row=105&amp;col=6&amp;number=&amp;sourceID=27","")</f>
        <v/>
      </c>
      <c r="G105" s="4" t="str">
        <f>HYPERLINK("http://141.218.60.56/~jnz1568/getInfo.php?workbook=10_02.xlsx&amp;sheet=A0&amp;row=105&amp;col=7&amp;number=19960&amp;sourceID=32","19960")</f>
        <v>19960</v>
      </c>
      <c r="H105" s="4" t="str">
        <f>HYPERLINK("http://141.218.60.56/~jnz1568/getInfo.php?workbook=10_02.xlsx&amp;sheet=A0&amp;row=105&amp;col=8&amp;number=&amp;sourceID=32","")</f>
        <v/>
      </c>
      <c r="I105" s="4" t="str">
        <f>HYPERLINK("http://141.218.60.56/~jnz1568/getInfo.php?workbook=10_02.xlsx&amp;sheet=A0&amp;row=105&amp;col=9&amp;number=&amp;sourceID=32","")</f>
        <v/>
      </c>
      <c r="J105" s="4" t="str">
        <f>HYPERLINK("http://141.218.60.56/~jnz1568/getInfo.php?workbook=10_02.xlsx&amp;sheet=A0&amp;row=105&amp;col=10&amp;number=9.513e-07&amp;sourceID=32","9.513e-07")</f>
        <v>9.513e-07</v>
      </c>
      <c r="K105" s="4" t="str">
        <f>HYPERLINK("http://141.218.60.56/~jnz1568/getInfo.php?workbook=10_02.xlsx&amp;sheet=A0&amp;row=105&amp;col=11&amp;number=14780&amp;sourceID=46","14780")</f>
        <v>14780</v>
      </c>
      <c r="L105" s="4" t="str">
        <f>HYPERLINK("http://141.218.60.56/~jnz1568/getInfo.php?workbook=10_02.xlsx&amp;sheet=A0&amp;row=105&amp;col=12&amp;number=&amp;sourceID=47","")</f>
        <v/>
      </c>
    </row>
    <row r="106" spans="1:12">
      <c r="A106" s="3">
        <v>10</v>
      </c>
      <c r="B106" s="3">
        <v>2</v>
      </c>
      <c r="C106" s="3">
        <v>16</v>
      </c>
      <c r="D106" s="3">
        <v>13</v>
      </c>
      <c r="E106" s="3">
        <f>((1/(INDEX(E0!J$4:J$52,C106,1)-INDEX(E0!J$4:J$52,D106,1))))*100000000</f>
        <v>0</v>
      </c>
      <c r="F106" s="4" t="str">
        <f>HYPERLINK("http://141.218.60.56/~jnz1568/getInfo.php?workbook=10_02.xlsx&amp;sheet=A0&amp;row=106&amp;col=6&amp;number=&amp;sourceID=27","")</f>
        <v/>
      </c>
      <c r="G106" s="4" t="str">
        <f>HYPERLINK("http://141.218.60.56/~jnz1568/getInfo.php?workbook=10_02.xlsx&amp;sheet=A0&amp;row=106&amp;col=7&amp;number=&amp;sourceID=32","")</f>
        <v/>
      </c>
      <c r="H106" s="4" t="str">
        <f>HYPERLINK("http://141.218.60.56/~jnz1568/getInfo.php?workbook=10_02.xlsx&amp;sheet=A0&amp;row=106&amp;col=8&amp;number=2.192e-10&amp;sourceID=32","2.192e-10")</f>
        <v>2.192e-10</v>
      </c>
      <c r="I106" s="4" t="str">
        <f>HYPERLINK("http://141.218.60.56/~jnz1568/getInfo.php?workbook=10_02.xlsx&amp;sheet=A0&amp;row=106&amp;col=9&amp;number=0.0003861&amp;sourceID=32","0.0003861")</f>
        <v>0.0003861</v>
      </c>
      <c r="J106" s="4" t="str">
        <f>HYPERLINK("http://141.218.60.56/~jnz1568/getInfo.php?workbook=10_02.xlsx&amp;sheet=A0&amp;row=106&amp;col=10&amp;number=&amp;sourceID=32","")</f>
        <v/>
      </c>
      <c r="K106" s="4" t="str">
        <f>HYPERLINK("http://141.218.60.56/~jnz1568/getInfo.php?workbook=10_02.xlsx&amp;sheet=A0&amp;row=106&amp;col=11&amp;number=&amp;sourceID=46","")</f>
        <v/>
      </c>
      <c r="L106" s="4" t="str">
        <f>HYPERLINK("http://141.218.60.56/~jnz1568/getInfo.php?workbook=10_02.xlsx&amp;sheet=A0&amp;row=106&amp;col=12&amp;number=&amp;sourceID=47","")</f>
        <v/>
      </c>
    </row>
    <row r="107" spans="1:12">
      <c r="A107" s="3">
        <v>10</v>
      </c>
      <c r="B107" s="3">
        <v>2</v>
      </c>
      <c r="C107" s="3">
        <v>16</v>
      </c>
      <c r="D107" s="3">
        <v>14</v>
      </c>
      <c r="E107" s="3">
        <f>((1/(INDEX(E0!J$4:J$52,C107,1)-INDEX(E0!J$4:J$52,D107,1))))*100000000</f>
        <v>0</v>
      </c>
      <c r="F107" s="4" t="str">
        <f>HYPERLINK("http://141.218.60.56/~jnz1568/getInfo.php?workbook=10_02.xlsx&amp;sheet=A0&amp;row=107&amp;col=6&amp;number=&amp;sourceID=27","")</f>
        <v/>
      </c>
      <c r="G107" s="4" t="str">
        <f>HYPERLINK("http://141.218.60.56/~jnz1568/getInfo.php?workbook=10_02.xlsx&amp;sheet=A0&amp;row=107&amp;col=7&amp;number=&amp;sourceID=32","")</f>
        <v/>
      </c>
      <c r="H107" s="4" t="str">
        <f>HYPERLINK("http://141.218.60.56/~jnz1568/getInfo.php?workbook=10_02.xlsx&amp;sheet=A0&amp;row=107&amp;col=8&amp;number=1.275e-10&amp;sourceID=32","1.275e-10")</f>
        <v>1.275e-10</v>
      </c>
      <c r="I107" s="4" t="str">
        <f>HYPERLINK("http://141.218.60.56/~jnz1568/getInfo.php?workbook=10_02.xlsx&amp;sheet=A0&amp;row=107&amp;col=9&amp;number=6.361e-05&amp;sourceID=32","6.361e-05")</f>
        <v>6.361e-05</v>
      </c>
      <c r="J107" s="4" t="str">
        <f>HYPERLINK("http://141.218.60.56/~jnz1568/getInfo.php?workbook=10_02.xlsx&amp;sheet=A0&amp;row=107&amp;col=10&amp;number=&amp;sourceID=32","")</f>
        <v/>
      </c>
      <c r="K107" s="4" t="str">
        <f>HYPERLINK("http://141.218.60.56/~jnz1568/getInfo.php?workbook=10_02.xlsx&amp;sheet=A0&amp;row=107&amp;col=11&amp;number=&amp;sourceID=46","")</f>
        <v/>
      </c>
      <c r="L107" s="4" t="str">
        <f>HYPERLINK("http://141.218.60.56/~jnz1568/getInfo.php?workbook=10_02.xlsx&amp;sheet=A0&amp;row=107&amp;col=12&amp;number=&amp;sourceID=47","")</f>
        <v/>
      </c>
    </row>
    <row r="108" spans="1:12">
      <c r="A108" s="3">
        <v>10</v>
      </c>
      <c r="B108" s="3">
        <v>2</v>
      </c>
      <c r="C108" s="3">
        <v>16</v>
      </c>
      <c r="D108" s="3">
        <v>15</v>
      </c>
      <c r="E108" s="3">
        <f>((1/(INDEX(E0!J$4:J$52,C108,1)-INDEX(E0!J$4:J$52,D108,1))))*100000000</f>
        <v>0</v>
      </c>
      <c r="F108" s="4" t="str">
        <f>HYPERLINK("http://141.218.60.56/~jnz1568/getInfo.php?workbook=10_02.xlsx&amp;sheet=A0&amp;row=108&amp;col=6&amp;number=&amp;sourceID=27","")</f>
        <v/>
      </c>
      <c r="G108" s="4" t="str">
        <f>HYPERLINK("http://141.218.60.56/~jnz1568/getInfo.php?workbook=10_02.xlsx&amp;sheet=A0&amp;row=108&amp;col=7&amp;number=&amp;sourceID=32","")</f>
        <v/>
      </c>
      <c r="H108" s="4" t="str">
        <f>HYPERLINK("http://141.218.60.56/~jnz1568/getInfo.php?workbook=10_02.xlsx&amp;sheet=A0&amp;row=108&amp;col=8&amp;number=6.116e-11&amp;sourceID=32","6.116e-11")</f>
        <v>6.116e-11</v>
      </c>
      <c r="I108" s="4" t="str">
        <f>HYPERLINK("http://141.218.60.56/~jnz1568/getInfo.php?workbook=10_02.xlsx&amp;sheet=A0&amp;row=108&amp;col=9&amp;number=0.0001664&amp;sourceID=32","0.0001664")</f>
        <v>0.0001664</v>
      </c>
      <c r="J108" s="4" t="str">
        <f>HYPERLINK("http://141.218.60.56/~jnz1568/getInfo.php?workbook=10_02.xlsx&amp;sheet=A0&amp;row=108&amp;col=10&amp;number=&amp;sourceID=32","")</f>
        <v/>
      </c>
      <c r="K108" s="4" t="str">
        <f>HYPERLINK("http://141.218.60.56/~jnz1568/getInfo.php?workbook=10_02.xlsx&amp;sheet=A0&amp;row=108&amp;col=11&amp;number=&amp;sourceID=46","")</f>
        <v/>
      </c>
      <c r="L108" s="4" t="str">
        <f>HYPERLINK("http://141.218.60.56/~jnz1568/getInfo.php?workbook=10_02.xlsx&amp;sheet=A0&amp;row=108&amp;col=12&amp;number=&amp;sourceID=47","")</f>
        <v/>
      </c>
    </row>
    <row r="109" spans="1:12">
      <c r="A109" s="3">
        <v>10</v>
      </c>
      <c r="B109" s="3">
        <v>2</v>
      </c>
      <c r="C109" s="3">
        <v>17</v>
      </c>
      <c r="D109" s="3">
        <v>1</v>
      </c>
      <c r="E109" s="3">
        <f>((1/(INDEX(E0!J$4:J$52,C109,1)-INDEX(E0!J$4:J$52,D109,1))))*100000000</f>
        <v>0</v>
      </c>
      <c r="F109" s="4" t="str">
        <f>HYPERLINK("http://141.218.60.56/~jnz1568/getInfo.php?workbook=10_02.xlsx&amp;sheet=A0&amp;row=109&amp;col=6&amp;number=&amp;sourceID=27","")</f>
        <v/>
      </c>
      <c r="G109" s="4" t="str">
        <f>HYPERLINK("http://141.218.60.56/~jnz1568/getInfo.php?workbook=10_02.xlsx&amp;sheet=A0&amp;row=109&amp;col=7&amp;number=2478000000000&amp;sourceID=32","2478000000000")</f>
        <v>2478000000000</v>
      </c>
      <c r="H109" s="4" t="str">
        <f>HYPERLINK("http://141.218.60.56/~jnz1568/getInfo.php?workbook=10_02.xlsx&amp;sheet=A0&amp;row=109&amp;col=8&amp;number=&amp;sourceID=32","")</f>
        <v/>
      </c>
      <c r="I109" s="4" t="str">
        <f>HYPERLINK("http://141.218.60.56/~jnz1568/getInfo.php?workbook=10_02.xlsx&amp;sheet=A0&amp;row=109&amp;col=9&amp;number=&amp;sourceID=32","")</f>
        <v/>
      </c>
      <c r="J109" s="4" t="str">
        <f>HYPERLINK("http://141.218.60.56/~jnz1568/getInfo.php?workbook=10_02.xlsx&amp;sheet=A0&amp;row=109&amp;col=10&amp;number=&amp;sourceID=32","")</f>
        <v/>
      </c>
      <c r="K109" s="4" t="str">
        <f>HYPERLINK("http://141.218.60.56/~jnz1568/getInfo.php?workbook=10_02.xlsx&amp;sheet=A0&amp;row=109&amp;col=11&amp;number=2637000000000&amp;sourceID=46","2637000000000")</f>
        <v>2637000000000</v>
      </c>
      <c r="L109" s="4" t="str">
        <f>HYPERLINK("http://141.218.60.56/~jnz1568/getInfo.php?workbook=10_02.xlsx&amp;sheet=A0&amp;row=109&amp;col=12&amp;number=2950000000000&amp;sourceID=47","2950000000000")</f>
        <v>2950000000000</v>
      </c>
    </row>
    <row r="110" spans="1:12">
      <c r="A110" s="3">
        <v>10</v>
      </c>
      <c r="B110" s="3">
        <v>2</v>
      </c>
      <c r="C110" s="3">
        <v>17</v>
      </c>
      <c r="D110" s="3">
        <v>2</v>
      </c>
      <c r="E110" s="3">
        <f>((1/(INDEX(E0!J$4:J$52,C110,1)-INDEX(E0!J$4:J$52,D110,1))))*100000000</f>
        <v>0</v>
      </c>
      <c r="F110" s="4" t="str">
        <f>HYPERLINK("http://141.218.60.56/~jnz1568/getInfo.php?workbook=10_02.xlsx&amp;sheet=A0&amp;row=110&amp;col=6&amp;number=&amp;sourceID=27","")</f>
        <v/>
      </c>
      <c r="G110" s="4" t="str">
        <f>HYPERLINK("http://141.218.60.56/~jnz1568/getInfo.php?workbook=10_02.xlsx&amp;sheet=A0&amp;row=110&amp;col=7&amp;number=84580000&amp;sourceID=32","84580000")</f>
        <v>84580000</v>
      </c>
      <c r="H110" s="4" t="str">
        <f>HYPERLINK("http://141.218.60.56/~jnz1568/getInfo.php?workbook=10_02.xlsx&amp;sheet=A0&amp;row=110&amp;col=8&amp;number=&amp;sourceID=32","")</f>
        <v/>
      </c>
      <c r="I110" s="4" t="str">
        <f>HYPERLINK("http://141.218.60.56/~jnz1568/getInfo.php?workbook=10_02.xlsx&amp;sheet=A0&amp;row=110&amp;col=9&amp;number=&amp;sourceID=32","")</f>
        <v/>
      </c>
      <c r="J110" s="4" t="str">
        <f>HYPERLINK("http://141.218.60.56/~jnz1568/getInfo.php?workbook=10_02.xlsx&amp;sheet=A0&amp;row=110&amp;col=10&amp;number=1832&amp;sourceID=32","1832")</f>
        <v>1832</v>
      </c>
      <c r="K110" s="4" t="str">
        <f>HYPERLINK("http://141.218.60.56/~jnz1568/getInfo.php?workbook=10_02.xlsx&amp;sheet=A0&amp;row=110&amp;col=11&amp;number=53626000&amp;sourceID=46","53626000")</f>
        <v>53626000</v>
      </c>
      <c r="L110" s="4" t="str">
        <f>HYPERLINK("http://141.218.60.56/~jnz1568/getInfo.php?workbook=10_02.xlsx&amp;sheet=A0&amp;row=110&amp;col=12&amp;number=&amp;sourceID=47","")</f>
        <v/>
      </c>
    </row>
    <row r="111" spans="1:12">
      <c r="A111" s="3">
        <v>10</v>
      </c>
      <c r="B111" s="3">
        <v>2</v>
      </c>
      <c r="C111" s="3">
        <v>17</v>
      </c>
      <c r="D111" s="3">
        <v>3</v>
      </c>
      <c r="E111" s="3">
        <f>((1/(INDEX(E0!J$4:J$52,C111,1)-INDEX(E0!J$4:J$52,D111,1))))*100000000</f>
        <v>0</v>
      </c>
      <c r="F111" s="4" t="str">
        <f>HYPERLINK("http://141.218.60.56/~jnz1568/getInfo.php?workbook=10_02.xlsx&amp;sheet=A0&amp;row=111&amp;col=6&amp;number=&amp;sourceID=27","")</f>
        <v/>
      </c>
      <c r="G111" s="4" t="str">
        <f>HYPERLINK("http://141.218.60.56/~jnz1568/getInfo.php?workbook=10_02.xlsx&amp;sheet=A0&amp;row=111&amp;col=7&amp;number=&amp;sourceID=32","")</f>
        <v/>
      </c>
      <c r="H111" s="4" t="str">
        <f>HYPERLINK("http://141.218.60.56/~jnz1568/getInfo.php?workbook=10_02.xlsx&amp;sheet=A0&amp;row=111&amp;col=8&amp;number=&amp;sourceID=32","")</f>
        <v/>
      </c>
      <c r="I111" s="4" t="str">
        <f>HYPERLINK("http://141.218.60.56/~jnz1568/getInfo.php?workbook=10_02.xlsx&amp;sheet=A0&amp;row=111&amp;col=9&amp;number=7.16&amp;sourceID=32","7.16")</f>
        <v>7.16</v>
      </c>
      <c r="J111" s="4" t="str">
        <f>HYPERLINK("http://141.218.60.56/~jnz1568/getInfo.php?workbook=10_02.xlsx&amp;sheet=A0&amp;row=111&amp;col=10&amp;number=&amp;sourceID=32","")</f>
        <v/>
      </c>
      <c r="K111" s="4" t="str">
        <f>HYPERLINK("http://141.218.60.56/~jnz1568/getInfo.php?workbook=10_02.xlsx&amp;sheet=A0&amp;row=111&amp;col=11&amp;number=6.5027&amp;sourceID=46","6.5027")</f>
        <v>6.5027</v>
      </c>
      <c r="L111" s="4" t="str">
        <f>HYPERLINK("http://141.218.60.56/~jnz1568/getInfo.php?workbook=10_02.xlsx&amp;sheet=A0&amp;row=111&amp;col=12&amp;number=&amp;sourceID=47","")</f>
        <v/>
      </c>
    </row>
    <row r="112" spans="1:12">
      <c r="A112" s="3">
        <v>10</v>
      </c>
      <c r="B112" s="3">
        <v>2</v>
      </c>
      <c r="C112" s="3">
        <v>17</v>
      </c>
      <c r="D112" s="3">
        <v>4</v>
      </c>
      <c r="E112" s="3">
        <f>((1/(INDEX(E0!J$4:J$52,C112,1)-INDEX(E0!J$4:J$52,D112,1))))*100000000</f>
        <v>0</v>
      </c>
      <c r="F112" s="4" t="str">
        <f>HYPERLINK("http://141.218.60.56/~jnz1568/getInfo.php?workbook=10_02.xlsx&amp;sheet=A0&amp;row=112&amp;col=6&amp;number=&amp;sourceID=27","")</f>
        <v/>
      </c>
      <c r="G112" s="4" t="str">
        <f>HYPERLINK("http://141.218.60.56/~jnz1568/getInfo.php?workbook=10_02.xlsx&amp;sheet=A0&amp;row=112&amp;col=7&amp;number=&amp;sourceID=32","")</f>
        <v/>
      </c>
      <c r="H112" s="4" t="str">
        <f>HYPERLINK("http://141.218.60.56/~jnz1568/getInfo.php?workbook=10_02.xlsx&amp;sheet=A0&amp;row=112&amp;col=8&amp;number=17450&amp;sourceID=32","17450")</f>
        <v>17450</v>
      </c>
      <c r="I112" s="4" t="str">
        <f>HYPERLINK("http://141.218.60.56/~jnz1568/getInfo.php?workbook=10_02.xlsx&amp;sheet=A0&amp;row=112&amp;col=9&amp;number=4.567&amp;sourceID=32","4.567")</f>
        <v>4.567</v>
      </c>
      <c r="J112" s="4" t="str">
        <f>HYPERLINK("http://141.218.60.56/~jnz1568/getInfo.php?workbook=10_02.xlsx&amp;sheet=A0&amp;row=112&amp;col=10&amp;number=&amp;sourceID=32","")</f>
        <v/>
      </c>
      <c r="K112" s="4" t="str">
        <f>HYPERLINK("http://141.218.60.56/~jnz1568/getInfo.php?workbook=10_02.xlsx&amp;sheet=A0&amp;row=112&amp;col=11&amp;number=13078&amp;sourceID=46","13078")</f>
        <v>13078</v>
      </c>
      <c r="L112" s="4" t="str">
        <f>HYPERLINK("http://141.218.60.56/~jnz1568/getInfo.php?workbook=10_02.xlsx&amp;sheet=A0&amp;row=112&amp;col=12&amp;number=&amp;sourceID=47","")</f>
        <v/>
      </c>
    </row>
    <row r="113" spans="1:12">
      <c r="A113" s="3">
        <v>10</v>
      </c>
      <c r="B113" s="3">
        <v>2</v>
      </c>
      <c r="C113" s="3">
        <v>17</v>
      </c>
      <c r="D113" s="3">
        <v>5</v>
      </c>
      <c r="E113" s="3">
        <f>((1/(INDEX(E0!J$4:J$52,C113,1)-INDEX(E0!J$4:J$52,D113,1))))*100000000</f>
        <v>0</v>
      </c>
      <c r="F113" s="4" t="str">
        <f>HYPERLINK("http://141.218.60.56/~jnz1568/getInfo.php?workbook=10_02.xlsx&amp;sheet=A0&amp;row=113&amp;col=6&amp;number=&amp;sourceID=27","")</f>
        <v/>
      </c>
      <c r="G113" s="4" t="str">
        <f>HYPERLINK("http://141.218.60.56/~jnz1568/getInfo.php?workbook=10_02.xlsx&amp;sheet=A0&amp;row=113&amp;col=7&amp;number=&amp;sourceID=32","")</f>
        <v/>
      </c>
      <c r="H113" s="4" t="str">
        <f>HYPERLINK("http://141.218.60.56/~jnz1568/getInfo.php?workbook=10_02.xlsx&amp;sheet=A0&amp;row=113&amp;col=8&amp;number=6308&amp;sourceID=32","6308")</f>
        <v>6308</v>
      </c>
      <c r="I113" s="4" t="str">
        <f>HYPERLINK("http://141.218.60.56/~jnz1568/getInfo.php?workbook=10_02.xlsx&amp;sheet=A0&amp;row=113&amp;col=9&amp;number=26.54&amp;sourceID=32","26.54")</f>
        <v>26.54</v>
      </c>
      <c r="J113" s="4" t="str">
        <f>HYPERLINK("http://141.218.60.56/~jnz1568/getInfo.php?workbook=10_02.xlsx&amp;sheet=A0&amp;row=113&amp;col=10&amp;number=&amp;sourceID=32","")</f>
        <v/>
      </c>
      <c r="K113" s="4" t="str">
        <f>HYPERLINK("http://141.218.60.56/~jnz1568/getInfo.php?workbook=10_02.xlsx&amp;sheet=A0&amp;row=113&amp;col=11&amp;number=4264.2&amp;sourceID=46","4264.2")</f>
        <v>4264.2</v>
      </c>
      <c r="L113" s="4" t="str">
        <f>HYPERLINK("http://141.218.60.56/~jnz1568/getInfo.php?workbook=10_02.xlsx&amp;sheet=A0&amp;row=113&amp;col=12&amp;number=&amp;sourceID=47","")</f>
        <v/>
      </c>
    </row>
    <row r="114" spans="1:12">
      <c r="A114" s="3">
        <v>10</v>
      </c>
      <c r="B114" s="3">
        <v>2</v>
      </c>
      <c r="C114" s="3">
        <v>17</v>
      </c>
      <c r="D114" s="3">
        <v>6</v>
      </c>
      <c r="E114" s="3">
        <f>((1/(INDEX(E0!J$4:J$52,C114,1)-INDEX(E0!J$4:J$52,D114,1))))*100000000</f>
        <v>0</v>
      </c>
      <c r="F114" s="4" t="str">
        <f>HYPERLINK("http://141.218.60.56/~jnz1568/getInfo.php?workbook=10_02.xlsx&amp;sheet=A0&amp;row=114&amp;col=6&amp;number=&amp;sourceID=27","")</f>
        <v/>
      </c>
      <c r="G114" s="4" t="str">
        <f>HYPERLINK("http://141.218.60.56/~jnz1568/getInfo.php?workbook=10_02.xlsx&amp;sheet=A0&amp;row=114&amp;col=7&amp;number=139700000000&amp;sourceID=32","139700000000")</f>
        <v>139700000000</v>
      </c>
      <c r="H114" s="4" t="str">
        <f>HYPERLINK("http://141.218.60.56/~jnz1568/getInfo.php?workbook=10_02.xlsx&amp;sheet=A0&amp;row=114&amp;col=8&amp;number=&amp;sourceID=32","")</f>
        <v/>
      </c>
      <c r="I114" s="4" t="str">
        <f>HYPERLINK("http://141.218.60.56/~jnz1568/getInfo.php?workbook=10_02.xlsx&amp;sheet=A0&amp;row=114&amp;col=9&amp;number=&amp;sourceID=32","")</f>
        <v/>
      </c>
      <c r="J114" s="4" t="str">
        <f>HYPERLINK("http://141.218.60.56/~jnz1568/getInfo.php?workbook=10_02.xlsx&amp;sheet=A0&amp;row=114&amp;col=10&amp;number=&amp;sourceID=32","")</f>
        <v/>
      </c>
      <c r="K114" s="4" t="str">
        <f>HYPERLINK("http://141.218.60.56/~jnz1568/getInfo.php?workbook=10_02.xlsx&amp;sheet=A0&amp;row=114&amp;col=11&amp;number=141140000000&amp;sourceID=46","141140000000")</f>
        <v>141140000000</v>
      </c>
      <c r="L114" s="4" t="str">
        <f>HYPERLINK("http://141.218.60.56/~jnz1568/getInfo.php?workbook=10_02.xlsx&amp;sheet=A0&amp;row=114&amp;col=12&amp;number=151000000000&amp;sourceID=47","151000000000")</f>
        <v>151000000000</v>
      </c>
    </row>
    <row r="115" spans="1:12">
      <c r="A115" s="3">
        <v>10</v>
      </c>
      <c r="B115" s="3">
        <v>2</v>
      </c>
      <c r="C115" s="3">
        <v>17</v>
      </c>
      <c r="D115" s="3">
        <v>7</v>
      </c>
      <c r="E115" s="3">
        <f>((1/(INDEX(E0!J$4:J$52,C115,1)-INDEX(E0!J$4:J$52,D115,1))))*100000000</f>
        <v>0</v>
      </c>
      <c r="F115" s="4" t="str">
        <f>HYPERLINK("http://141.218.60.56/~jnz1568/getInfo.php?workbook=10_02.xlsx&amp;sheet=A0&amp;row=115&amp;col=6&amp;number=&amp;sourceID=27","")</f>
        <v/>
      </c>
      <c r="G115" s="4" t="str">
        <f>HYPERLINK("http://141.218.60.56/~jnz1568/getInfo.php?workbook=10_02.xlsx&amp;sheet=A0&amp;row=115&amp;col=7&amp;number=&amp;sourceID=32","")</f>
        <v/>
      </c>
      <c r="H115" s="4" t="str">
        <f>HYPERLINK("http://141.218.60.56/~jnz1568/getInfo.php?workbook=10_02.xlsx&amp;sheet=A0&amp;row=115&amp;col=8&amp;number=12470000&amp;sourceID=32","12470000")</f>
        <v>12470000</v>
      </c>
      <c r="I115" s="4" t="str">
        <f>HYPERLINK("http://141.218.60.56/~jnz1568/getInfo.php?workbook=10_02.xlsx&amp;sheet=A0&amp;row=115&amp;col=9&amp;number=4.566&amp;sourceID=32","4.566")</f>
        <v>4.566</v>
      </c>
      <c r="J115" s="4" t="str">
        <f>HYPERLINK("http://141.218.60.56/~jnz1568/getInfo.php?workbook=10_02.xlsx&amp;sheet=A0&amp;row=115&amp;col=10&amp;number=&amp;sourceID=32","")</f>
        <v/>
      </c>
      <c r="K115" s="4" t="str">
        <f>HYPERLINK("http://141.218.60.56/~jnz1568/getInfo.php?workbook=10_02.xlsx&amp;sheet=A0&amp;row=115&amp;col=11&amp;number=12567000&amp;sourceID=46","12567000")</f>
        <v>12567000</v>
      </c>
      <c r="L115" s="4" t="str">
        <f>HYPERLINK("http://141.218.60.56/~jnz1568/getInfo.php?workbook=10_02.xlsx&amp;sheet=A0&amp;row=115&amp;col=12&amp;number=&amp;sourceID=47","")</f>
        <v/>
      </c>
    </row>
    <row r="116" spans="1:12">
      <c r="A116" s="3">
        <v>10</v>
      </c>
      <c r="B116" s="3">
        <v>2</v>
      </c>
      <c r="C116" s="3">
        <v>17</v>
      </c>
      <c r="D116" s="3">
        <v>8</v>
      </c>
      <c r="E116" s="3">
        <f>((1/(INDEX(E0!J$4:J$52,C116,1)-INDEX(E0!J$4:J$52,D116,1))))*100000000</f>
        <v>0</v>
      </c>
      <c r="F116" s="4" t="str">
        <f>HYPERLINK("http://141.218.60.56/~jnz1568/getInfo.php?workbook=10_02.xlsx&amp;sheet=A0&amp;row=116&amp;col=6&amp;number=&amp;sourceID=27","")</f>
        <v/>
      </c>
      <c r="G116" s="4" t="str">
        <f>HYPERLINK("http://141.218.60.56/~jnz1568/getInfo.php?workbook=10_02.xlsx&amp;sheet=A0&amp;row=116&amp;col=7&amp;number=45960&amp;sourceID=32","45960")</f>
        <v>45960</v>
      </c>
      <c r="H116" s="4" t="str">
        <f>HYPERLINK("http://141.218.60.56/~jnz1568/getInfo.php?workbook=10_02.xlsx&amp;sheet=A0&amp;row=116&amp;col=8&amp;number=&amp;sourceID=32","")</f>
        <v/>
      </c>
      <c r="I116" s="4" t="str">
        <f>HYPERLINK("http://141.218.60.56/~jnz1568/getInfo.php?workbook=10_02.xlsx&amp;sheet=A0&amp;row=116&amp;col=9&amp;number=&amp;sourceID=32","")</f>
        <v/>
      </c>
      <c r="J116" s="4" t="str">
        <f>HYPERLINK("http://141.218.60.56/~jnz1568/getInfo.php?workbook=10_02.xlsx&amp;sheet=A0&amp;row=116&amp;col=10&amp;number=0.0007677&amp;sourceID=32","0.0007677")</f>
        <v>0.0007677</v>
      </c>
      <c r="K116" s="4" t="str">
        <f>HYPERLINK("http://141.218.60.56/~jnz1568/getInfo.php?workbook=10_02.xlsx&amp;sheet=A0&amp;row=116&amp;col=11&amp;number=37292&amp;sourceID=46","37292")</f>
        <v>37292</v>
      </c>
      <c r="L116" s="4" t="str">
        <f>HYPERLINK("http://141.218.60.56/~jnz1568/getInfo.php?workbook=10_02.xlsx&amp;sheet=A0&amp;row=116&amp;col=12&amp;number=&amp;sourceID=47","")</f>
        <v/>
      </c>
    </row>
    <row r="117" spans="1:12">
      <c r="A117" s="3">
        <v>10</v>
      </c>
      <c r="B117" s="3">
        <v>2</v>
      </c>
      <c r="C117" s="3">
        <v>17</v>
      </c>
      <c r="D117" s="3">
        <v>9</v>
      </c>
      <c r="E117" s="3">
        <f>((1/(INDEX(E0!J$4:J$52,C117,1)-INDEX(E0!J$4:J$52,D117,1))))*100000000</f>
        <v>0</v>
      </c>
      <c r="F117" s="4" t="str">
        <f>HYPERLINK("http://141.218.60.56/~jnz1568/getInfo.php?workbook=10_02.xlsx&amp;sheet=A0&amp;row=117&amp;col=6&amp;number=&amp;sourceID=27","")</f>
        <v/>
      </c>
      <c r="G117" s="4" t="str">
        <f>HYPERLINK("http://141.218.60.56/~jnz1568/getInfo.php?workbook=10_02.xlsx&amp;sheet=A0&amp;row=117&amp;col=7&amp;number=&amp;sourceID=32","")</f>
        <v/>
      </c>
      <c r="H117" s="4" t="str">
        <f>HYPERLINK("http://141.218.60.56/~jnz1568/getInfo.php?workbook=10_02.xlsx&amp;sheet=A0&amp;row=117&amp;col=8&amp;number=&amp;sourceID=32","")</f>
        <v/>
      </c>
      <c r="I117" s="4" t="str">
        <f>HYPERLINK("http://141.218.60.56/~jnz1568/getInfo.php?workbook=10_02.xlsx&amp;sheet=A0&amp;row=117&amp;col=9&amp;number=0.0527&amp;sourceID=32","0.0527")</f>
        <v>0.0527</v>
      </c>
      <c r="J117" s="4" t="str">
        <f>HYPERLINK("http://141.218.60.56/~jnz1568/getInfo.php?workbook=10_02.xlsx&amp;sheet=A0&amp;row=117&amp;col=10&amp;number=&amp;sourceID=32","")</f>
        <v/>
      </c>
      <c r="K117" s="4" t="str">
        <f>HYPERLINK("http://141.218.60.56/~jnz1568/getInfo.php?workbook=10_02.xlsx&amp;sheet=A0&amp;row=117&amp;col=11&amp;number=&amp;sourceID=46","")</f>
        <v/>
      </c>
      <c r="L117" s="4" t="str">
        <f>HYPERLINK("http://141.218.60.56/~jnz1568/getInfo.php?workbook=10_02.xlsx&amp;sheet=A0&amp;row=117&amp;col=12&amp;number=&amp;sourceID=47","")</f>
        <v/>
      </c>
    </row>
    <row r="118" spans="1:12">
      <c r="A118" s="3">
        <v>10</v>
      </c>
      <c r="B118" s="3">
        <v>2</v>
      </c>
      <c r="C118" s="3">
        <v>17</v>
      </c>
      <c r="D118" s="3">
        <v>10</v>
      </c>
      <c r="E118" s="3">
        <f>((1/(INDEX(E0!J$4:J$52,C118,1)-INDEX(E0!J$4:J$52,D118,1))))*100000000</f>
        <v>0</v>
      </c>
      <c r="F118" s="4" t="str">
        <f>HYPERLINK("http://141.218.60.56/~jnz1568/getInfo.php?workbook=10_02.xlsx&amp;sheet=A0&amp;row=118&amp;col=6&amp;number=&amp;sourceID=27","")</f>
        <v/>
      </c>
      <c r="G118" s="4" t="str">
        <f>HYPERLINK("http://141.218.60.56/~jnz1568/getInfo.php?workbook=10_02.xlsx&amp;sheet=A0&amp;row=118&amp;col=7&amp;number=&amp;sourceID=32","")</f>
        <v/>
      </c>
      <c r="H118" s="4" t="str">
        <f>HYPERLINK("http://141.218.60.56/~jnz1568/getInfo.php?workbook=10_02.xlsx&amp;sheet=A0&amp;row=118&amp;col=8&amp;number=0.0003324&amp;sourceID=32","0.0003324")</f>
        <v>0.0003324</v>
      </c>
      <c r="I118" s="4" t="str">
        <f>HYPERLINK("http://141.218.60.56/~jnz1568/getInfo.php?workbook=10_02.xlsx&amp;sheet=A0&amp;row=118&amp;col=9&amp;number=0.04263&amp;sourceID=32","0.04263")</f>
        <v>0.04263</v>
      </c>
      <c r="J118" s="4" t="str">
        <f>HYPERLINK("http://141.218.60.56/~jnz1568/getInfo.php?workbook=10_02.xlsx&amp;sheet=A0&amp;row=118&amp;col=10&amp;number=&amp;sourceID=32","")</f>
        <v/>
      </c>
      <c r="K118" s="4" t="str">
        <f>HYPERLINK("http://141.218.60.56/~jnz1568/getInfo.php?workbook=10_02.xlsx&amp;sheet=A0&amp;row=118&amp;col=11&amp;number=&amp;sourceID=46","")</f>
        <v/>
      </c>
      <c r="L118" s="4" t="str">
        <f>HYPERLINK("http://141.218.60.56/~jnz1568/getInfo.php?workbook=10_02.xlsx&amp;sheet=A0&amp;row=118&amp;col=12&amp;number=&amp;sourceID=47","")</f>
        <v/>
      </c>
    </row>
    <row r="119" spans="1:12">
      <c r="A119" s="3">
        <v>10</v>
      </c>
      <c r="B119" s="3">
        <v>2</v>
      </c>
      <c r="C119" s="3">
        <v>17</v>
      </c>
      <c r="D119" s="3">
        <v>11</v>
      </c>
      <c r="E119" s="3">
        <f>((1/(INDEX(E0!J$4:J$52,C119,1)-INDEX(E0!J$4:J$52,D119,1))))*100000000</f>
        <v>0</v>
      </c>
      <c r="F119" s="4" t="str">
        <f>HYPERLINK("http://141.218.60.56/~jnz1568/getInfo.php?workbook=10_02.xlsx&amp;sheet=A0&amp;row=119&amp;col=6&amp;number=&amp;sourceID=27","")</f>
        <v/>
      </c>
      <c r="G119" s="4" t="str">
        <f>HYPERLINK("http://141.218.60.56/~jnz1568/getInfo.php?workbook=10_02.xlsx&amp;sheet=A0&amp;row=119&amp;col=7&amp;number=5216000&amp;sourceID=32","5216000")</f>
        <v>5216000</v>
      </c>
      <c r="H119" s="4" t="str">
        <f>HYPERLINK("http://141.218.60.56/~jnz1568/getInfo.php?workbook=10_02.xlsx&amp;sheet=A0&amp;row=119&amp;col=8&amp;number=&amp;sourceID=32","")</f>
        <v/>
      </c>
      <c r="I119" s="4" t="str">
        <f>HYPERLINK("http://141.218.60.56/~jnz1568/getInfo.php?workbook=10_02.xlsx&amp;sheet=A0&amp;row=119&amp;col=9&amp;number=&amp;sourceID=32","")</f>
        <v/>
      </c>
      <c r="J119" s="4" t="str">
        <f>HYPERLINK("http://141.218.60.56/~jnz1568/getInfo.php?workbook=10_02.xlsx&amp;sheet=A0&amp;row=119&amp;col=10&amp;number=&amp;sourceID=32","")</f>
        <v/>
      </c>
      <c r="K119" s="4" t="str">
        <f>HYPERLINK("http://141.218.60.56/~jnz1568/getInfo.php?workbook=10_02.xlsx&amp;sheet=A0&amp;row=119&amp;col=11&amp;number=5339300&amp;sourceID=46","5339300")</f>
        <v>5339300</v>
      </c>
      <c r="L119" s="4" t="str">
        <f>HYPERLINK("http://141.218.60.56/~jnz1568/getInfo.php?workbook=10_02.xlsx&amp;sheet=A0&amp;row=119&amp;col=12&amp;number=&amp;sourceID=47","")</f>
        <v/>
      </c>
    </row>
    <row r="120" spans="1:12">
      <c r="A120" s="3">
        <v>10</v>
      </c>
      <c r="B120" s="3">
        <v>2</v>
      </c>
      <c r="C120" s="3">
        <v>17</v>
      </c>
      <c r="D120" s="3">
        <v>12</v>
      </c>
      <c r="E120" s="3">
        <f>((1/(INDEX(E0!J$4:J$52,C120,1)-INDEX(E0!J$4:J$52,D120,1))))*100000000</f>
        <v>0</v>
      </c>
      <c r="F120" s="4" t="str">
        <f>HYPERLINK("http://141.218.60.56/~jnz1568/getInfo.php?workbook=10_02.xlsx&amp;sheet=A0&amp;row=120&amp;col=6&amp;number=&amp;sourceID=27","")</f>
        <v/>
      </c>
      <c r="G120" s="4" t="str">
        <f>HYPERLINK("http://141.218.60.56/~jnz1568/getInfo.php?workbook=10_02.xlsx&amp;sheet=A0&amp;row=120&amp;col=7&amp;number=&amp;sourceID=32","")</f>
        <v/>
      </c>
      <c r="H120" s="4" t="str">
        <f>HYPERLINK("http://141.218.60.56/~jnz1568/getInfo.php?workbook=10_02.xlsx&amp;sheet=A0&amp;row=120&amp;col=8&amp;number=9.625e-05&amp;sourceID=32","9.625e-05")</f>
        <v>9.625e-05</v>
      </c>
      <c r="I120" s="4" t="str">
        <f>HYPERLINK("http://141.218.60.56/~jnz1568/getInfo.php?workbook=10_02.xlsx&amp;sheet=A0&amp;row=120&amp;col=9&amp;number=0.04511&amp;sourceID=32","0.04511")</f>
        <v>0.04511</v>
      </c>
      <c r="J120" s="4" t="str">
        <f>HYPERLINK("http://141.218.60.56/~jnz1568/getInfo.php?workbook=10_02.xlsx&amp;sheet=A0&amp;row=120&amp;col=10&amp;number=&amp;sourceID=32","")</f>
        <v/>
      </c>
      <c r="K120" s="4" t="str">
        <f>HYPERLINK("http://141.218.60.56/~jnz1568/getInfo.php?workbook=10_02.xlsx&amp;sheet=A0&amp;row=120&amp;col=11&amp;number=&amp;sourceID=46","")</f>
        <v/>
      </c>
      <c r="L120" s="4" t="str">
        <f>HYPERLINK("http://141.218.60.56/~jnz1568/getInfo.php?workbook=10_02.xlsx&amp;sheet=A0&amp;row=120&amp;col=12&amp;number=&amp;sourceID=47","")</f>
        <v/>
      </c>
    </row>
    <row r="121" spans="1:12">
      <c r="A121" s="3">
        <v>10</v>
      </c>
      <c r="B121" s="3">
        <v>2</v>
      </c>
      <c r="C121" s="3">
        <v>17</v>
      </c>
      <c r="D121" s="3">
        <v>13</v>
      </c>
      <c r="E121" s="3">
        <f>((1/(INDEX(E0!J$4:J$52,C121,1)-INDEX(E0!J$4:J$52,D121,1))))*100000000</f>
        <v>0</v>
      </c>
      <c r="F121" s="4" t="str">
        <f>HYPERLINK("http://141.218.60.56/~jnz1568/getInfo.php?workbook=10_02.xlsx&amp;sheet=A0&amp;row=121&amp;col=6&amp;number=&amp;sourceID=27","")</f>
        <v/>
      </c>
      <c r="G121" s="4" t="str">
        <f>HYPERLINK("http://141.218.60.56/~jnz1568/getInfo.php?workbook=10_02.xlsx&amp;sheet=A0&amp;row=121&amp;col=7&amp;number=18.04&amp;sourceID=32","18.04")</f>
        <v>18.04</v>
      </c>
      <c r="H121" s="4" t="str">
        <f>HYPERLINK("http://141.218.60.56/~jnz1568/getInfo.php?workbook=10_02.xlsx&amp;sheet=A0&amp;row=121&amp;col=8&amp;number=&amp;sourceID=32","")</f>
        <v/>
      </c>
      <c r="I121" s="4" t="str">
        <f>HYPERLINK("http://141.218.60.56/~jnz1568/getInfo.php?workbook=10_02.xlsx&amp;sheet=A0&amp;row=121&amp;col=9&amp;number=&amp;sourceID=32","")</f>
        <v/>
      </c>
      <c r="J121" s="4" t="str">
        <f>HYPERLINK("http://141.218.60.56/~jnz1568/getInfo.php?workbook=10_02.xlsx&amp;sheet=A0&amp;row=121&amp;col=10&amp;number=1.247e-10&amp;sourceID=32","1.247e-10")</f>
        <v>1.247e-10</v>
      </c>
      <c r="K121" s="4" t="str">
        <f>HYPERLINK("http://141.218.60.56/~jnz1568/getInfo.php?workbook=10_02.xlsx&amp;sheet=A0&amp;row=121&amp;col=11&amp;number=24.627&amp;sourceID=46","24.627")</f>
        <v>24.627</v>
      </c>
      <c r="L121" s="4" t="str">
        <f>HYPERLINK("http://141.218.60.56/~jnz1568/getInfo.php?workbook=10_02.xlsx&amp;sheet=A0&amp;row=121&amp;col=12&amp;number=&amp;sourceID=47","")</f>
        <v/>
      </c>
    </row>
    <row r="122" spans="1:12">
      <c r="A122" s="3">
        <v>10</v>
      </c>
      <c r="B122" s="3">
        <v>2</v>
      </c>
      <c r="C122" s="3">
        <v>17</v>
      </c>
      <c r="D122" s="3">
        <v>14</v>
      </c>
      <c r="E122" s="3">
        <f>((1/(INDEX(E0!J$4:J$52,C122,1)-INDEX(E0!J$4:J$52,D122,1))))*100000000</f>
        <v>0</v>
      </c>
      <c r="F122" s="4" t="str">
        <f>HYPERLINK("http://141.218.60.56/~jnz1568/getInfo.php?workbook=10_02.xlsx&amp;sheet=A0&amp;row=122&amp;col=6&amp;number=&amp;sourceID=27","")</f>
        <v/>
      </c>
      <c r="G122" s="4" t="str">
        <f>HYPERLINK("http://141.218.60.56/~jnz1568/getInfo.php?workbook=10_02.xlsx&amp;sheet=A0&amp;row=122&amp;col=7&amp;number=3756&amp;sourceID=32","3756")</f>
        <v>3756</v>
      </c>
      <c r="H122" s="4" t="str">
        <f>HYPERLINK("http://141.218.60.56/~jnz1568/getInfo.php?workbook=10_02.xlsx&amp;sheet=A0&amp;row=122&amp;col=8&amp;number=&amp;sourceID=32","")</f>
        <v/>
      </c>
      <c r="I122" s="4" t="str">
        <f>HYPERLINK("http://141.218.60.56/~jnz1568/getInfo.php?workbook=10_02.xlsx&amp;sheet=A0&amp;row=122&amp;col=9&amp;number=&amp;sourceID=32","")</f>
        <v/>
      </c>
      <c r="J122" s="4" t="str">
        <f>HYPERLINK("http://141.218.60.56/~jnz1568/getInfo.php?workbook=10_02.xlsx&amp;sheet=A0&amp;row=122&amp;col=10&amp;number=9.06e-10&amp;sourceID=32","9.06e-10")</f>
        <v>9.06e-10</v>
      </c>
      <c r="K122" s="4" t="str">
        <f>HYPERLINK("http://141.218.60.56/~jnz1568/getInfo.php?workbook=10_02.xlsx&amp;sheet=A0&amp;row=122&amp;col=11&amp;number=4488.1&amp;sourceID=46","4488.1")</f>
        <v>4488.1</v>
      </c>
      <c r="L122" s="4" t="str">
        <f>HYPERLINK("http://141.218.60.56/~jnz1568/getInfo.php?workbook=10_02.xlsx&amp;sheet=A0&amp;row=122&amp;col=12&amp;number=&amp;sourceID=47","")</f>
        <v/>
      </c>
    </row>
    <row r="123" spans="1:12">
      <c r="A123" s="3">
        <v>10</v>
      </c>
      <c r="B123" s="3">
        <v>2</v>
      </c>
      <c r="C123" s="3">
        <v>17</v>
      </c>
      <c r="D123" s="3">
        <v>15</v>
      </c>
      <c r="E123" s="3">
        <f>((1/(INDEX(E0!J$4:J$52,C123,1)-INDEX(E0!J$4:J$52,D123,1))))*100000000</f>
        <v>0</v>
      </c>
      <c r="F123" s="4" t="str">
        <f>HYPERLINK("http://141.218.60.56/~jnz1568/getInfo.php?workbook=10_02.xlsx&amp;sheet=A0&amp;row=123&amp;col=6&amp;number=&amp;sourceID=27","")</f>
        <v/>
      </c>
      <c r="G123" s="4" t="str">
        <f>HYPERLINK("http://141.218.60.56/~jnz1568/getInfo.php?workbook=10_02.xlsx&amp;sheet=A0&amp;row=123&amp;col=7&amp;number=&amp;sourceID=32","")</f>
        <v/>
      </c>
      <c r="H123" s="4" t="str">
        <f>HYPERLINK("http://141.218.60.56/~jnz1568/getInfo.php?workbook=10_02.xlsx&amp;sheet=A0&amp;row=123&amp;col=8&amp;number=&amp;sourceID=32","")</f>
        <v/>
      </c>
      <c r="I123" s="4" t="str">
        <f>HYPERLINK("http://141.218.60.56/~jnz1568/getInfo.php?workbook=10_02.xlsx&amp;sheet=A0&amp;row=123&amp;col=9&amp;number=&amp;sourceID=32","")</f>
        <v/>
      </c>
      <c r="J123" s="4" t="str">
        <f>HYPERLINK("http://141.218.60.56/~jnz1568/getInfo.php?workbook=10_02.xlsx&amp;sheet=A0&amp;row=123&amp;col=10&amp;number=8.961e-09&amp;sourceID=32","8.961e-09")</f>
        <v>8.961e-09</v>
      </c>
      <c r="K123" s="4" t="str">
        <f>HYPERLINK("http://141.218.60.56/~jnz1568/getInfo.php?workbook=10_02.xlsx&amp;sheet=A0&amp;row=123&amp;col=11&amp;number=&amp;sourceID=46","")</f>
        <v/>
      </c>
      <c r="L123" s="4" t="str">
        <f>HYPERLINK("http://141.218.60.56/~jnz1568/getInfo.php?workbook=10_02.xlsx&amp;sheet=A0&amp;row=123&amp;col=12&amp;number=&amp;sourceID=47","")</f>
        <v/>
      </c>
    </row>
    <row r="124" spans="1:12">
      <c r="A124" s="3">
        <v>10</v>
      </c>
      <c r="B124" s="3">
        <v>2</v>
      </c>
      <c r="C124" s="3">
        <v>17</v>
      </c>
      <c r="D124" s="3">
        <v>16</v>
      </c>
      <c r="E124" s="3"/>
      <c r="F124" s="4" t="str">
        <f>HYPERLINK("http://141.218.60.56/~jnz1568/getInfo.php?workbook=10_02.xlsx&amp;sheet=A0&amp;row=124&amp;col=6&amp;number=&amp;sourceID=27","")</f>
        <v/>
      </c>
      <c r="G124" s="4" t="str">
        <f>HYPERLINK("http://141.218.60.56/~jnz1568/getInfo.php?workbook=10_02.xlsx&amp;sheet=A0&amp;row=124&amp;col=7&amp;number=60240&amp;sourceID=32","60240")</f>
        <v>60240</v>
      </c>
      <c r="H124" s="4" t="str">
        <f>HYPERLINK("http://141.218.60.56/~jnz1568/getInfo.php?workbook=10_02.xlsx&amp;sheet=A0&amp;row=124&amp;col=8&amp;number=&amp;sourceID=32","")</f>
        <v/>
      </c>
      <c r="I124" s="4" t="str">
        <f>HYPERLINK("http://141.218.60.56/~jnz1568/getInfo.php?workbook=10_02.xlsx&amp;sheet=A0&amp;row=124&amp;col=9&amp;number=&amp;sourceID=32","")</f>
        <v/>
      </c>
      <c r="J124" s="4" t="str">
        <f>HYPERLINK("http://141.218.60.56/~jnz1568/getInfo.php?workbook=10_02.xlsx&amp;sheet=A0&amp;row=124&amp;col=10&amp;number=2.64e-09&amp;sourceID=32","2.64e-09")</f>
        <v>2.64e-09</v>
      </c>
      <c r="K124" s="4" t="str">
        <f>HYPERLINK("http://141.218.60.56/~jnz1568/getInfo.php?workbook=10_02.xlsx&amp;sheet=A0&amp;row=124&amp;col=11&amp;number=115200&amp;sourceID=46","115200")</f>
        <v>115200</v>
      </c>
      <c r="L124" s="4" t="str">
        <f>HYPERLINK("http://141.218.60.56/~jnz1568/getInfo.php?workbook=10_02.xlsx&amp;sheet=A0&amp;row=124&amp;col=12&amp;number=&amp;sourceID=47","")</f>
        <v/>
      </c>
    </row>
    <row r="125" spans="1:12">
      <c r="A125" s="3">
        <v>10</v>
      </c>
      <c r="B125" s="3">
        <v>2</v>
      </c>
      <c r="C125" s="3">
        <v>18</v>
      </c>
      <c r="D125" s="3">
        <v>1</v>
      </c>
      <c r="E125" s="3">
        <f>((1/(INDEX(E0!J$4:J$52,C125,1)-INDEX(E0!J$4:J$52,D125,1))))*100000000</f>
        <v>0</v>
      </c>
      <c r="F125" s="4" t="str">
        <f>HYPERLINK("http://141.218.60.56/~jnz1568/getInfo.php?workbook=10_02.xlsx&amp;sheet=A0&amp;row=125&amp;col=6&amp;number=&amp;sourceID=27","")</f>
        <v/>
      </c>
      <c r="G125" s="4" t="str">
        <f>HYPERLINK("http://141.218.60.56/~jnz1568/getInfo.php?workbook=10_02.xlsx&amp;sheet=A0&amp;row=125&amp;col=7&amp;number=&amp;sourceID=32","")</f>
        <v/>
      </c>
      <c r="H125" s="4" t="str">
        <f>HYPERLINK("http://141.218.60.56/~jnz1568/getInfo.php?workbook=10_02.xlsx&amp;sheet=A0&amp;row=125&amp;col=8&amp;number=&amp;sourceID=32","")</f>
        <v/>
      </c>
      <c r="I125" s="4" t="str">
        <f>HYPERLINK("http://141.218.60.56/~jnz1568/getInfo.php?workbook=10_02.xlsx&amp;sheet=A0&amp;row=125&amp;col=9&amp;number=2160&amp;sourceID=32","2160")</f>
        <v>2160</v>
      </c>
      <c r="J125" s="4" t="str">
        <f>HYPERLINK("http://141.218.60.56/~jnz1568/getInfo.php?workbook=10_02.xlsx&amp;sheet=A0&amp;row=125&amp;col=10&amp;number=&amp;sourceID=32","")</f>
        <v/>
      </c>
      <c r="K125" s="4" t="str">
        <f>HYPERLINK("http://141.218.60.56/~jnz1568/getInfo.php?workbook=10_02.xlsx&amp;sheet=A0&amp;row=125&amp;col=11&amp;number=1855.7&amp;sourceID=46","1855.7")</f>
        <v>1855.7</v>
      </c>
      <c r="L125" s="4" t="str">
        <f>HYPERLINK("http://141.218.60.56/~jnz1568/getInfo.php?workbook=10_02.xlsx&amp;sheet=A0&amp;row=125&amp;col=12&amp;number=&amp;sourceID=47","")</f>
        <v/>
      </c>
    </row>
    <row r="126" spans="1:12">
      <c r="A126" s="3">
        <v>10</v>
      </c>
      <c r="B126" s="3">
        <v>2</v>
      </c>
      <c r="C126" s="3">
        <v>18</v>
      </c>
      <c r="D126" s="3">
        <v>2</v>
      </c>
      <c r="E126" s="3">
        <f>((1/(INDEX(E0!J$4:J$52,C126,1)-INDEX(E0!J$4:J$52,D126,1))))*100000000</f>
        <v>0</v>
      </c>
      <c r="F126" s="4" t="str">
        <f>HYPERLINK("http://141.218.60.56/~jnz1568/getInfo.php?workbook=10_02.xlsx&amp;sheet=A0&amp;row=126&amp;col=6&amp;number=&amp;sourceID=27","")</f>
        <v/>
      </c>
      <c r="G126" s="4" t="str">
        <f>HYPERLINK("http://141.218.60.56/~jnz1568/getInfo.php?workbook=10_02.xlsx&amp;sheet=A0&amp;row=126&amp;col=7&amp;number=&amp;sourceID=32","")</f>
        <v/>
      </c>
      <c r="H126" s="4" t="str">
        <f>HYPERLINK("http://141.218.60.56/~jnz1568/getInfo.php?workbook=10_02.xlsx&amp;sheet=A0&amp;row=126&amp;col=8&amp;number=0.1948&amp;sourceID=32","0.1948")</f>
        <v>0.1948</v>
      </c>
      <c r="I126" s="4" t="str">
        <f>HYPERLINK("http://141.218.60.56/~jnz1568/getInfo.php?workbook=10_02.xlsx&amp;sheet=A0&amp;row=126&amp;col=9&amp;number=4.667&amp;sourceID=32","4.667")</f>
        <v>4.667</v>
      </c>
      <c r="J126" s="4" t="str">
        <f>HYPERLINK("http://141.218.60.56/~jnz1568/getInfo.php?workbook=10_02.xlsx&amp;sheet=A0&amp;row=126&amp;col=10&amp;number=&amp;sourceID=32","")</f>
        <v/>
      </c>
      <c r="K126" s="4" t="str">
        <f>HYPERLINK("http://141.218.60.56/~jnz1568/getInfo.php?workbook=10_02.xlsx&amp;sheet=A0&amp;row=126&amp;col=11&amp;number=5.3556&amp;sourceID=46","5.3556")</f>
        <v>5.3556</v>
      </c>
      <c r="L126" s="4" t="str">
        <f>HYPERLINK("http://141.218.60.56/~jnz1568/getInfo.php?workbook=10_02.xlsx&amp;sheet=A0&amp;row=126&amp;col=12&amp;number=&amp;sourceID=47","")</f>
        <v/>
      </c>
    </row>
    <row r="127" spans="1:12">
      <c r="A127" s="3">
        <v>10</v>
      </c>
      <c r="B127" s="3">
        <v>2</v>
      </c>
      <c r="C127" s="3">
        <v>18</v>
      </c>
      <c r="D127" s="3">
        <v>3</v>
      </c>
      <c r="E127" s="3">
        <f>((1/(INDEX(E0!J$4:J$52,C127,1)-INDEX(E0!J$4:J$52,D127,1))))*100000000</f>
        <v>0</v>
      </c>
      <c r="F127" s="4" t="str">
        <f>HYPERLINK("http://141.218.60.56/~jnz1568/getInfo.php?workbook=10_02.xlsx&amp;sheet=A0&amp;row=127&amp;col=6&amp;number=&amp;sourceID=27","")</f>
        <v/>
      </c>
      <c r="G127" s="4" t="str">
        <f>HYPERLINK("http://141.218.60.56/~jnz1568/getInfo.php?workbook=10_02.xlsx&amp;sheet=A0&amp;row=127&amp;col=7&amp;number=2530000000&amp;sourceID=32","2530000000")</f>
        <v>2530000000</v>
      </c>
      <c r="H127" s="4" t="str">
        <f>HYPERLINK("http://141.218.60.56/~jnz1568/getInfo.php?workbook=10_02.xlsx&amp;sheet=A0&amp;row=127&amp;col=8&amp;number=&amp;sourceID=32","")</f>
        <v/>
      </c>
      <c r="I127" s="4" t="str">
        <f>HYPERLINK("http://141.218.60.56/~jnz1568/getInfo.php?workbook=10_02.xlsx&amp;sheet=A0&amp;row=127&amp;col=9&amp;number=&amp;sourceID=32","")</f>
        <v/>
      </c>
      <c r="J127" s="4" t="str">
        <f>HYPERLINK("http://141.218.60.56/~jnz1568/getInfo.php?workbook=10_02.xlsx&amp;sheet=A0&amp;row=127&amp;col=10&amp;number=&amp;sourceID=32","")</f>
        <v/>
      </c>
      <c r="K127" s="4" t="str">
        <f>HYPERLINK("http://141.218.60.56/~jnz1568/getInfo.php?workbook=10_02.xlsx&amp;sheet=A0&amp;row=127&amp;col=11&amp;number=2417100000&amp;sourceID=46","2417100000")</f>
        <v>2417100000</v>
      </c>
      <c r="L127" s="4" t="str">
        <f>HYPERLINK("http://141.218.60.56/~jnz1568/getInfo.php?workbook=10_02.xlsx&amp;sheet=A0&amp;row=127&amp;col=12&amp;number=&amp;sourceID=47","")</f>
        <v/>
      </c>
    </row>
    <row r="128" spans="1:12">
      <c r="A128" s="3">
        <v>10</v>
      </c>
      <c r="B128" s="3">
        <v>2</v>
      </c>
      <c r="C128" s="3">
        <v>18</v>
      </c>
      <c r="D128" s="3">
        <v>4</v>
      </c>
      <c r="E128" s="3">
        <f>((1/(INDEX(E0!J$4:J$52,C128,1)-INDEX(E0!J$4:J$52,D128,1))))*100000000</f>
        <v>0</v>
      </c>
      <c r="F128" s="4" t="str">
        <f>HYPERLINK("http://141.218.60.56/~jnz1568/getInfo.php?workbook=10_02.xlsx&amp;sheet=A0&amp;row=128&amp;col=6&amp;number=&amp;sourceID=27","")</f>
        <v/>
      </c>
      <c r="G128" s="4" t="str">
        <f>HYPERLINK("http://141.218.60.56/~jnz1568/getInfo.php?workbook=10_02.xlsx&amp;sheet=A0&amp;row=128&amp;col=7&amp;number=7556000000&amp;sourceID=32","7556000000")</f>
        <v>7556000000</v>
      </c>
      <c r="H128" s="4" t="str">
        <f>HYPERLINK("http://141.218.60.56/~jnz1568/getInfo.php?workbook=10_02.xlsx&amp;sheet=A0&amp;row=128&amp;col=8&amp;number=&amp;sourceID=32","")</f>
        <v/>
      </c>
      <c r="I128" s="4" t="str">
        <f>HYPERLINK("http://141.218.60.56/~jnz1568/getInfo.php?workbook=10_02.xlsx&amp;sheet=A0&amp;row=128&amp;col=9&amp;number=&amp;sourceID=32","")</f>
        <v/>
      </c>
      <c r="J128" s="4" t="str">
        <f>HYPERLINK("http://141.218.60.56/~jnz1568/getInfo.php?workbook=10_02.xlsx&amp;sheet=A0&amp;row=128&amp;col=10&amp;number=74.85&amp;sourceID=32","74.85")</f>
        <v>74.85</v>
      </c>
      <c r="K128" s="4" t="str">
        <f>HYPERLINK("http://141.218.60.56/~jnz1568/getInfo.php?workbook=10_02.xlsx&amp;sheet=A0&amp;row=128&amp;col=11&amp;number=7116000000&amp;sourceID=46","7116000000")</f>
        <v>7116000000</v>
      </c>
      <c r="L128" s="4" t="str">
        <f>HYPERLINK("http://141.218.60.56/~jnz1568/getInfo.php?workbook=10_02.xlsx&amp;sheet=A0&amp;row=128&amp;col=12&amp;number=&amp;sourceID=47","")</f>
        <v/>
      </c>
    </row>
    <row r="129" spans="1:12">
      <c r="A129" s="3">
        <v>10</v>
      </c>
      <c r="B129" s="3">
        <v>2</v>
      </c>
      <c r="C129" s="3">
        <v>18</v>
      </c>
      <c r="D129" s="3">
        <v>5</v>
      </c>
      <c r="E129" s="3">
        <f>((1/(INDEX(E0!J$4:J$52,C129,1)-INDEX(E0!J$4:J$52,D129,1))))*100000000</f>
        <v>0</v>
      </c>
      <c r="F129" s="4" t="str">
        <f>HYPERLINK("http://141.218.60.56/~jnz1568/getInfo.php?workbook=10_02.xlsx&amp;sheet=A0&amp;row=129&amp;col=6&amp;number=&amp;sourceID=27","")</f>
        <v/>
      </c>
      <c r="G129" s="4" t="str">
        <f>HYPERLINK("http://141.218.60.56/~jnz1568/getInfo.php?workbook=10_02.xlsx&amp;sheet=A0&amp;row=129&amp;col=7&amp;number=12670000000&amp;sourceID=32","12670000000")</f>
        <v>12670000000</v>
      </c>
      <c r="H129" s="4" t="str">
        <f>HYPERLINK("http://141.218.60.56/~jnz1568/getInfo.php?workbook=10_02.xlsx&amp;sheet=A0&amp;row=129&amp;col=8&amp;number=&amp;sourceID=32","")</f>
        <v/>
      </c>
      <c r="I129" s="4" t="str">
        <f>HYPERLINK("http://141.218.60.56/~jnz1568/getInfo.php?workbook=10_02.xlsx&amp;sheet=A0&amp;row=129&amp;col=9&amp;number=&amp;sourceID=32","")</f>
        <v/>
      </c>
      <c r="J129" s="4" t="str">
        <f>HYPERLINK("http://141.218.60.56/~jnz1568/getInfo.php?workbook=10_02.xlsx&amp;sheet=A0&amp;row=129&amp;col=10&amp;number=241.3&amp;sourceID=32","241.3")</f>
        <v>241.3</v>
      </c>
      <c r="K129" s="4" t="str">
        <f>HYPERLINK("http://141.218.60.56/~jnz1568/getInfo.php?workbook=10_02.xlsx&amp;sheet=A0&amp;row=129&amp;col=11&amp;number=11595000000&amp;sourceID=46","11595000000")</f>
        <v>11595000000</v>
      </c>
      <c r="L129" s="4" t="str">
        <f>HYPERLINK("http://141.218.60.56/~jnz1568/getInfo.php?workbook=10_02.xlsx&amp;sheet=A0&amp;row=129&amp;col=12&amp;number=&amp;sourceID=47","")</f>
        <v/>
      </c>
    </row>
    <row r="130" spans="1:12">
      <c r="A130" s="3">
        <v>10</v>
      </c>
      <c r="B130" s="3">
        <v>2</v>
      </c>
      <c r="C130" s="3">
        <v>18</v>
      </c>
      <c r="D130" s="3">
        <v>6</v>
      </c>
      <c r="E130" s="3">
        <f>((1/(INDEX(E0!J$4:J$52,C130,1)-INDEX(E0!J$4:J$52,D130,1))))*100000000</f>
        <v>0</v>
      </c>
      <c r="F130" s="4" t="str">
        <f>HYPERLINK("http://141.218.60.56/~jnz1568/getInfo.php?workbook=10_02.xlsx&amp;sheet=A0&amp;row=130&amp;col=6&amp;number=&amp;sourceID=27","")</f>
        <v/>
      </c>
      <c r="G130" s="4" t="str">
        <f>HYPERLINK("http://141.218.60.56/~jnz1568/getInfo.php?workbook=10_02.xlsx&amp;sheet=A0&amp;row=130&amp;col=7&amp;number=&amp;sourceID=32","")</f>
        <v/>
      </c>
      <c r="H130" s="4" t="str">
        <f>HYPERLINK("http://141.218.60.56/~jnz1568/getInfo.php?workbook=10_02.xlsx&amp;sheet=A0&amp;row=130&amp;col=8&amp;number=&amp;sourceID=32","")</f>
        <v/>
      </c>
      <c r="I130" s="4" t="str">
        <f>HYPERLINK("http://141.218.60.56/~jnz1568/getInfo.php?workbook=10_02.xlsx&amp;sheet=A0&amp;row=130&amp;col=9&amp;number=3.086&amp;sourceID=32","3.086")</f>
        <v>3.086</v>
      </c>
      <c r="J130" s="4" t="str">
        <f>HYPERLINK("http://141.218.60.56/~jnz1568/getInfo.php?workbook=10_02.xlsx&amp;sheet=A0&amp;row=130&amp;col=10&amp;number=&amp;sourceID=32","")</f>
        <v/>
      </c>
      <c r="K130" s="4" t="str">
        <f>HYPERLINK("http://141.218.60.56/~jnz1568/getInfo.php?workbook=10_02.xlsx&amp;sheet=A0&amp;row=130&amp;col=11&amp;number=2.7484&amp;sourceID=46","2.7484")</f>
        <v>2.7484</v>
      </c>
      <c r="L130" s="4" t="str">
        <f>HYPERLINK("http://141.218.60.56/~jnz1568/getInfo.php?workbook=10_02.xlsx&amp;sheet=A0&amp;row=130&amp;col=12&amp;number=&amp;sourceID=47","")</f>
        <v/>
      </c>
    </row>
    <row r="131" spans="1:12">
      <c r="A131" s="3">
        <v>10</v>
      </c>
      <c r="B131" s="3">
        <v>2</v>
      </c>
      <c r="C131" s="3">
        <v>18</v>
      </c>
      <c r="D131" s="3">
        <v>7</v>
      </c>
      <c r="E131" s="3">
        <f>((1/(INDEX(E0!J$4:J$52,C131,1)-INDEX(E0!J$4:J$52,D131,1))))*100000000</f>
        <v>0</v>
      </c>
      <c r="F131" s="4" t="str">
        <f>HYPERLINK("http://141.218.60.56/~jnz1568/getInfo.php?workbook=10_02.xlsx&amp;sheet=A0&amp;row=131&amp;col=6&amp;number=&amp;sourceID=27","")</f>
        <v/>
      </c>
      <c r="G131" s="4" t="str">
        <f>HYPERLINK("http://141.218.60.56/~jnz1568/getInfo.php?workbook=10_02.xlsx&amp;sheet=A0&amp;row=131&amp;col=7&amp;number=4986000&amp;sourceID=32","4986000")</f>
        <v>4986000</v>
      </c>
      <c r="H131" s="4" t="str">
        <f>HYPERLINK("http://141.218.60.56/~jnz1568/getInfo.php?workbook=10_02.xlsx&amp;sheet=A0&amp;row=131&amp;col=8&amp;number=&amp;sourceID=32","")</f>
        <v/>
      </c>
      <c r="I131" s="4" t="str">
        <f>HYPERLINK("http://141.218.60.56/~jnz1568/getInfo.php?workbook=10_02.xlsx&amp;sheet=A0&amp;row=131&amp;col=9&amp;number=&amp;sourceID=32","")</f>
        <v/>
      </c>
      <c r="J131" s="4" t="str">
        <f>HYPERLINK("http://141.218.60.56/~jnz1568/getInfo.php?workbook=10_02.xlsx&amp;sheet=A0&amp;row=131&amp;col=10&amp;number=179.4&amp;sourceID=32","179.4")</f>
        <v>179.4</v>
      </c>
      <c r="K131" s="4" t="str">
        <f>HYPERLINK("http://141.218.60.56/~jnz1568/getInfo.php?workbook=10_02.xlsx&amp;sheet=A0&amp;row=131&amp;col=11&amp;number=1223800&amp;sourceID=46","1223800")</f>
        <v>1223800</v>
      </c>
      <c r="L131" s="4" t="str">
        <f>HYPERLINK("http://141.218.60.56/~jnz1568/getInfo.php?workbook=10_02.xlsx&amp;sheet=A0&amp;row=131&amp;col=12&amp;number=&amp;sourceID=47","")</f>
        <v/>
      </c>
    </row>
    <row r="132" spans="1:12">
      <c r="A132" s="3">
        <v>10</v>
      </c>
      <c r="B132" s="3">
        <v>2</v>
      </c>
      <c r="C132" s="3">
        <v>18</v>
      </c>
      <c r="D132" s="3">
        <v>8</v>
      </c>
      <c r="E132" s="3">
        <f>((1/(INDEX(E0!J$4:J$52,C132,1)-INDEX(E0!J$4:J$52,D132,1))))*100000000</f>
        <v>0</v>
      </c>
      <c r="F132" s="4" t="str">
        <f>HYPERLINK("http://141.218.60.56/~jnz1568/getInfo.php?workbook=10_02.xlsx&amp;sheet=A0&amp;row=132&amp;col=6&amp;number=&amp;sourceID=27","")</f>
        <v/>
      </c>
      <c r="G132" s="4" t="str">
        <f>HYPERLINK("http://141.218.60.56/~jnz1568/getInfo.php?workbook=10_02.xlsx&amp;sheet=A0&amp;row=132&amp;col=7&amp;number=&amp;sourceID=32","")</f>
        <v/>
      </c>
      <c r="H132" s="4" t="str">
        <f>HYPERLINK("http://141.218.60.56/~jnz1568/getInfo.php?workbook=10_02.xlsx&amp;sheet=A0&amp;row=132&amp;col=8&amp;number=0.2343&amp;sourceID=32","0.2343")</f>
        <v>0.2343</v>
      </c>
      <c r="I132" s="4" t="str">
        <f>HYPERLINK("http://141.218.60.56/~jnz1568/getInfo.php?workbook=10_02.xlsx&amp;sheet=A0&amp;row=132&amp;col=9&amp;number=0.05358&amp;sourceID=32","0.05358")</f>
        <v>0.05358</v>
      </c>
      <c r="J132" s="4" t="str">
        <f>HYPERLINK("http://141.218.60.56/~jnz1568/getInfo.php?workbook=10_02.xlsx&amp;sheet=A0&amp;row=132&amp;col=10&amp;number=&amp;sourceID=32","")</f>
        <v/>
      </c>
      <c r="K132" s="4" t="str">
        <f>HYPERLINK("http://141.218.60.56/~jnz1568/getInfo.php?workbook=10_02.xlsx&amp;sheet=A0&amp;row=132&amp;col=11&amp;number=&amp;sourceID=46","")</f>
        <v/>
      </c>
      <c r="L132" s="4" t="str">
        <f>HYPERLINK("http://141.218.60.56/~jnz1568/getInfo.php?workbook=10_02.xlsx&amp;sheet=A0&amp;row=132&amp;col=12&amp;number=&amp;sourceID=47","")</f>
        <v/>
      </c>
    </row>
    <row r="133" spans="1:12">
      <c r="A133" s="3">
        <v>10</v>
      </c>
      <c r="B133" s="3">
        <v>2</v>
      </c>
      <c r="C133" s="3">
        <v>18</v>
      </c>
      <c r="D133" s="3">
        <v>9</v>
      </c>
      <c r="E133" s="3">
        <f>((1/(INDEX(E0!J$4:J$52,C133,1)-INDEX(E0!J$4:J$52,D133,1))))*100000000</f>
        <v>0</v>
      </c>
      <c r="F133" s="4" t="str">
        <f>HYPERLINK("http://141.218.60.56/~jnz1568/getInfo.php?workbook=10_02.xlsx&amp;sheet=A0&amp;row=133&amp;col=6&amp;number=&amp;sourceID=27","")</f>
        <v/>
      </c>
      <c r="G133" s="4" t="str">
        <f>HYPERLINK("http://141.218.60.56/~jnz1568/getInfo.php?workbook=10_02.xlsx&amp;sheet=A0&amp;row=133&amp;col=7&amp;number=1766000000&amp;sourceID=32","1766000000")</f>
        <v>1766000000</v>
      </c>
      <c r="H133" s="4" t="str">
        <f>HYPERLINK("http://141.218.60.56/~jnz1568/getInfo.php?workbook=10_02.xlsx&amp;sheet=A0&amp;row=133&amp;col=8&amp;number=&amp;sourceID=32","")</f>
        <v/>
      </c>
      <c r="I133" s="4" t="str">
        <f>HYPERLINK("http://141.218.60.56/~jnz1568/getInfo.php?workbook=10_02.xlsx&amp;sheet=A0&amp;row=133&amp;col=9&amp;number=&amp;sourceID=32","")</f>
        <v/>
      </c>
      <c r="J133" s="4" t="str">
        <f>HYPERLINK("http://141.218.60.56/~jnz1568/getInfo.php?workbook=10_02.xlsx&amp;sheet=A0&amp;row=133&amp;col=10&amp;number=&amp;sourceID=32","")</f>
        <v/>
      </c>
      <c r="K133" s="4" t="str">
        <f>HYPERLINK("http://141.218.60.56/~jnz1568/getInfo.php?workbook=10_02.xlsx&amp;sheet=A0&amp;row=133&amp;col=11&amp;number=1739900000&amp;sourceID=46","1739900000")</f>
        <v>1739900000</v>
      </c>
      <c r="L133" s="4" t="str">
        <f>HYPERLINK("http://141.218.60.56/~jnz1568/getInfo.php?workbook=10_02.xlsx&amp;sheet=A0&amp;row=133&amp;col=12&amp;number=&amp;sourceID=47","")</f>
        <v/>
      </c>
    </row>
    <row r="134" spans="1:12">
      <c r="A134" s="3">
        <v>10</v>
      </c>
      <c r="B134" s="3">
        <v>2</v>
      </c>
      <c r="C134" s="3">
        <v>18</v>
      </c>
      <c r="D134" s="3">
        <v>10</v>
      </c>
      <c r="E134" s="3">
        <f>((1/(INDEX(E0!J$4:J$52,C134,1)-INDEX(E0!J$4:J$52,D134,1))))*100000000</f>
        <v>0</v>
      </c>
      <c r="F134" s="4" t="str">
        <f>HYPERLINK("http://141.218.60.56/~jnz1568/getInfo.php?workbook=10_02.xlsx&amp;sheet=A0&amp;row=134&amp;col=6&amp;number=&amp;sourceID=27","")</f>
        <v/>
      </c>
      <c r="G134" s="4" t="str">
        <f>HYPERLINK("http://141.218.60.56/~jnz1568/getInfo.php?workbook=10_02.xlsx&amp;sheet=A0&amp;row=134&amp;col=7&amp;number=5282000000&amp;sourceID=32","5282000000")</f>
        <v>5282000000</v>
      </c>
      <c r="H134" s="4" t="str">
        <f>HYPERLINK("http://141.218.60.56/~jnz1568/getInfo.php?workbook=10_02.xlsx&amp;sheet=A0&amp;row=134&amp;col=8&amp;number=&amp;sourceID=32","")</f>
        <v/>
      </c>
      <c r="I134" s="4" t="str">
        <f>HYPERLINK("http://141.218.60.56/~jnz1568/getInfo.php?workbook=10_02.xlsx&amp;sheet=A0&amp;row=134&amp;col=9&amp;number=&amp;sourceID=32","")</f>
        <v/>
      </c>
      <c r="J134" s="4" t="str">
        <f>HYPERLINK("http://141.218.60.56/~jnz1568/getInfo.php?workbook=10_02.xlsx&amp;sheet=A0&amp;row=134&amp;col=10&amp;number=3.354&amp;sourceID=32","3.354")</f>
        <v>3.354</v>
      </c>
      <c r="K134" s="4" t="str">
        <f>HYPERLINK("http://141.218.60.56/~jnz1568/getInfo.php?workbook=10_02.xlsx&amp;sheet=A0&amp;row=134&amp;col=11&amp;number=5195700000&amp;sourceID=46","5195700000")</f>
        <v>5195700000</v>
      </c>
      <c r="L134" s="4" t="str">
        <f>HYPERLINK("http://141.218.60.56/~jnz1568/getInfo.php?workbook=10_02.xlsx&amp;sheet=A0&amp;row=134&amp;col=12&amp;number=&amp;sourceID=47","")</f>
        <v/>
      </c>
    </row>
    <row r="135" spans="1:12">
      <c r="A135" s="3">
        <v>10</v>
      </c>
      <c r="B135" s="3">
        <v>2</v>
      </c>
      <c r="C135" s="3">
        <v>18</v>
      </c>
      <c r="D135" s="3">
        <v>11</v>
      </c>
      <c r="E135" s="3">
        <f>((1/(INDEX(E0!J$4:J$52,C135,1)-INDEX(E0!J$4:J$52,D135,1))))*100000000</f>
        <v>0</v>
      </c>
      <c r="F135" s="4" t="str">
        <f>HYPERLINK("http://141.218.60.56/~jnz1568/getInfo.php?workbook=10_02.xlsx&amp;sheet=A0&amp;row=135&amp;col=6&amp;number=&amp;sourceID=27","")</f>
        <v/>
      </c>
      <c r="G135" s="4" t="str">
        <f>HYPERLINK("http://141.218.60.56/~jnz1568/getInfo.php?workbook=10_02.xlsx&amp;sheet=A0&amp;row=135&amp;col=7&amp;number=&amp;sourceID=32","")</f>
        <v/>
      </c>
      <c r="H135" s="4" t="str">
        <f>HYPERLINK("http://141.218.60.56/~jnz1568/getInfo.php?workbook=10_02.xlsx&amp;sheet=A0&amp;row=135&amp;col=8&amp;number=&amp;sourceID=32","")</f>
        <v/>
      </c>
      <c r="I135" s="4" t="str">
        <f>HYPERLINK("http://141.218.60.56/~jnz1568/getInfo.php?workbook=10_02.xlsx&amp;sheet=A0&amp;row=135&amp;col=9&amp;number=&amp;sourceID=32","")</f>
        <v/>
      </c>
      <c r="J135" s="4" t="str">
        <f>HYPERLINK("http://141.218.60.56/~jnz1568/getInfo.php?workbook=10_02.xlsx&amp;sheet=A0&amp;row=135&amp;col=10&amp;number=0.05659&amp;sourceID=32","0.05659")</f>
        <v>0.05659</v>
      </c>
      <c r="K135" s="4" t="str">
        <f>HYPERLINK("http://141.218.60.56/~jnz1568/getInfo.php?workbook=10_02.xlsx&amp;sheet=A0&amp;row=135&amp;col=11&amp;number=&amp;sourceID=46","")</f>
        <v/>
      </c>
      <c r="L135" s="4" t="str">
        <f>HYPERLINK("http://141.218.60.56/~jnz1568/getInfo.php?workbook=10_02.xlsx&amp;sheet=A0&amp;row=135&amp;col=12&amp;number=&amp;sourceID=47","")</f>
        <v/>
      </c>
    </row>
    <row r="136" spans="1:12">
      <c r="A136" s="3">
        <v>10</v>
      </c>
      <c r="B136" s="3">
        <v>2</v>
      </c>
      <c r="C136" s="3">
        <v>18</v>
      </c>
      <c r="D136" s="3">
        <v>12</v>
      </c>
      <c r="E136" s="3">
        <f>((1/(INDEX(E0!J$4:J$52,C136,1)-INDEX(E0!J$4:J$52,D136,1))))*100000000</f>
        <v>0</v>
      </c>
      <c r="F136" s="4" t="str">
        <f>HYPERLINK("http://141.218.60.56/~jnz1568/getInfo.php?workbook=10_02.xlsx&amp;sheet=A0&amp;row=136&amp;col=6&amp;number=&amp;sourceID=27","")</f>
        <v/>
      </c>
      <c r="G136" s="4" t="str">
        <f>HYPERLINK("http://141.218.60.56/~jnz1568/getInfo.php?workbook=10_02.xlsx&amp;sheet=A0&amp;row=136&amp;col=7&amp;number=8858000000&amp;sourceID=32","8858000000")</f>
        <v>8858000000</v>
      </c>
      <c r="H136" s="4" t="str">
        <f>HYPERLINK("http://141.218.60.56/~jnz1568/getInfo.php?workbook=10_02.xlsx&amp;sheet=A0&amp;row=136&amp;col=8&amp;number=&amp;sourceID=32","")</f>
        <v/>
      </c>
      <c r="I136" s="4" t="str">
        <f>HYPERLINK("http://141.218.60.56/~jnz1568/getInfo.php?workbook=10_02.xlsx&amp;sheet=A0&amp;row=136&amp;col=9&amp;number=&amp;sourceID=32","")</f>
        <v/>
      </c>
      <c r="J136" s="4" t="str">
        <f>HYPERLINK("http://141.218.60.56/~jnz1568/getInfo.php?workbook=10_02.xlsx&amp;sheet=A0&amp;row=136&amp;col=10&amp;number=10.86&amp;sourceID=32","10.86")</f>
        <v>10.86</v>
      </c>
      <c r="K136" s="4" t="str">
        <f>HYPERLINK("http://141.218.60.56/~jnz1568/getInfo.php?workbook=10_02.xlsx&amp;sheet=A0&amp;row=136&amp;col=11&amp;number=8677400000&amp;sourceID=46","8677400000")</f>
        <v>8677400000</v>
      </c>
      <c r="L136" s="4" t="str">
        <f>HYPERLINK("http://141.218.60.56/~jnz1568/getInfo.php?workbook=10_02.xlsx&amp;sheet=A0&amp;row=136&amp;col=12&amp;number=&amp;sourceID=47","")</f>
        <v/>
      </c>
    </row>
    <row r="137" spans="1:12">
      <c r="A137" s="3">
        <v>10</v>
      </c>
      <c r="B137" s="3">
        <v>2</v>
      </c>
      <c r="C137" s="3">
        <v>18</v>
      </c>
      <c r="D137" s="3">
        <v>13</v>
      </c>
      <c r="E137" s="3">
        <f>((1/(INDEX(E0!J$4:J$52,C137,1)-INDEX(E0!J$4:J$52,D137,1))))*100000000</f>
        <v>0</v>
      </c>
      <c r="F137" s="4" t="str">
        <f>HYPERLINK("http://141.218.60.56/~jnz1568/getInfo.php?workbook=10_02.xlsx&amp;sheet=A0&amp;row=137&amp;col=6&amp;number=&amp;sourceID=27","")</f>
        <v/>
      </c>
      <c r="G137" s="4" t="str">
        <f>HYPERLINK("http://141.218.60.56/~jnz1568/getInfo.php?workbook=10_02.xlsx&amp;sheet=A0&amp;row=137&amp;col=7&amp;number=&amp;sourceID=32","")</f>
        <v/>
      </c>
      <c r="H137" s="4" t="str">
        <f>HYPERLINK("http://141.218.60.56/~jnz1568/getInfo.php?workbook=10_02.xlsx&amp;sheet=A0&amp;row=137&amp;col=8&amp;number=123800&amp;sourceID=32","123800")</f>
        <v>123800</v>
      </c>
      <c r="I137" s="4" t="str">
        <f>HYPERLINK("http://141.218.60.56/~jnz1568/getInfo.php?workbook=10_02.xlsx&amp;sheet=A0&amp;row=137&amp;col=9&amp;number=0.001376&amp;sourceID=32","0.001376")</f>
        <v>0.001376</v>
      </c>
      <c r="J137" s="4" t="str">
        <f>HYPERLINK("http://141.218.60.56/~jnz1568/getInfo.php?workbook=10_02.xlsx&amp;sheet=A0&amp;row=137&amp;col=10&amp;number=&amp;sourceID=32","")</f>
        <v/>
      </c>
      <c r="K137" s="4" t="str">
        <f>HYPERLINK("http://141.218.60.56/~jnz1568/getInfo.php?workbook=10_02.xlsx&amp;sheet=A0&amp;row=137&amp;col=11&amp;number=123450&amp;sourceID=46","123450")</f>
        <v>123450</v>
      </c>
      <c r="L137" s="4" t="str">
        <f>HYPERLINK("http://141.218.60.56/~jnz1568/getInfo.php?workbook=10_02.xlsx&amp;sheet=A0&amp;row=137&amp;col=12&amp;number=&amp;sourceID=47","")</f>
        <v/>
      </c>
    </row>
    <row r="138" spans="1:12">
      <c r="A138" s="3">
        <v>10</v>
      </c>
      <c r="B138" s="3">
        <v>2</v>
      </c>
      <c r="C138" s="3">
        <v>18</v>
      </c>
      <c r="D138" s="3">
        <v>14</v>
      </c>
      <c r="E138" s="3">
        <f>((1/(INDEX(E0!J$4:J$52,C138,1)-INDEX(E0!J$4:J$52,D138,1))))*100000000</f>
        <v>0</v>
      </c>
      <c r="F138" s="4" t="str">
        <f>HYPERLINK("http://141.218.60.56/~jnz1568/getInfo.php?workbook=10_02.xlsx&amp;sheet=A0&amp;row=138&amp;col=6&amp;number=&amp;sourceID=27","")</f>
        <v/>
      </c>
      <c r="G138" s="4" t="str">
        <f>HYPERLINK("http://141.218.60.56/~jnz1568/getInfo.php?workbook=10_02.xlsx&amp;sheet=A0&amp;row=138&amp;col=7&amp;number=&amp;sourceID=32","")</f>
        <v/>
      </c>
      <c r="H138" s="4" t="str">
        <f>HYPERLINK("http://141.218.60.56/~jnz1568/getInfo.php?workbook=10_02.xlsx&amp;sheet=A0&amp;row=138&amp;col=8&amp;number=197200&amp;sourceID=32","197200")</f>
        <v>197200</v>
      </c>
      <c r="I138" s="4" t="str">
        <f>HYPERLINK("http://141.218.60.56/~jnz1568/getInfo.php?workbook=10_02.xlsx&amp;sheet=A0&amp;row=138&amp;col=9&amp;number=0.0001812&amp;sourceID=32","0.0001812")</f>
        <v>0.0001812</v>
      </c>
      <c r="J138" s="4" t="str">
        <f>HYPERLINK("http://141.218.60.56/~jnz1568/getInfo.php?workbook=10_02.xlsx&amp;sheet=A0&amp;row=138&amp;col=10&amp;number=&amp;sourceID=32","")</f>
        <v/>
      </c>
      <c r="K138" s="4" t="str">
        <f>HYPERLINK("http://141.218.60.56/~jnz1568/getInfo.php?workbook=10_02.xlsx&amp;sheet=A0&amp;row=138&amp;col=11&amp;number=199860&amp;sourceID=46","199860")</f>
        <v>199860</v>
      </c>
      <c r="L138" s="4" t="str">
        <f>HYPERLINK("http://141.218.60.56/~jnz1568/getInfo.php?workbook=10_02.xlsx&amp;sheet=A0&amp;row=138&amp;col=12&amp;number=&amp;sourceID=47","")</f>
        <v/>
      </c>
    </row>
    <row r="139" spans="1:12">
      <c r="A139" s="3">
        <v>10</v>
      </c>
      <c r="B139" s="3">
        <v>2</v>
      </c>
      <c r="C139" s="3">
        <v>18</v>
      </c>
      <c r="D139" s="3">
        <v>15</v>
      </c>
      <c r="E139" s="3">
        <f>((1/(INDEX(E0!J$4:J$52,C139,1)-INDEX(E0!J$4:J$52,D139,1))))*100000000</f>
        <v>0</v>
      </c>
      <c r="F139" s="4" t="str">
        <f>HYPERLINK("http://141.218.60.56/~jnz1568/getInfo.php?workbook=10_02.xlsx&amp;sheet=A0&amp;row=139&amp;col=6&amp;number=&amp;sourceID=27","")</f>
        <v/>
      </c>
      <c r="G139" s="4" t="str">
        <f>HYPERLINK("http://141.218.60.56/~jnz1568/getInfo.php?workbook=10_02.xlsx&amp;sheet=A0&amp;row=139&amp;col=7&amp;number=&amp;sourceID=32","")</f>
        <v/>
      </c>
      <c r="H139" s="4" t="str">
        <f>HYPERLINK("http://141.218.60.56/~jnz1568/getInfo.php?workbook=10_02.xlsx&amp;sheet=A0&amp;row=139&amp;col=8&amp;number=288700&amp;sourceID=32","288700")</f>
        <v>288700</v>
      </c>
      <c r="I139" s="4" t="str">
        <f>HYPERLINK("http://141.218.60.56/~jnz1568/getInfo.php?workbook=10_02.xlsx&amp;sheet=A0&amp;row=139&amp;col=9&amp;number=&amp;sourceID=32","")</f>
        <v/>
      </c>
      <c r="J139" s="4" t="str">
        <f>HYPERLINK("http://141.218.60.56/~jnz1568/getInfo.php?workbook=10_02.xlsx&amp;sheet=A0&amp;row=139&amp;col=10&amp;number=&amp;sourceID=32","")</f>
        <v/>
      </c>
      <c r="K139" s="4" t="str">
        <f>HYPERLINK("http://141.218.60.56/~jnz1568/getInfo.php?workbook=10_02.xlsx&amp;sheet=A0&amp;row=139&amp;col=11&amp;number=287900&amp;sourceID=46","287900")</f>
        <v>287900</v>
      </c>
      <c r="L139" s="4" t="str">
        <f>HYPERLINK("http://141.218.60.56/~jnz1568/getInfo.php?workbook=10_02.xlsx&amp;sheet=A0&amp;row=139&amp;col=12&amp;number=&amp;sourceID=47","")</f>
        <v/>
      </c>
    </row>
    <row r="140" spans="1:12">
      <c r="A140" s="3">
        <v>10</v>
      </c>
      <c r="B140" s="3">
        <v>2</v>
      </c>
      <c r="C140" s="3">
        <v>18</v>
      </c>
      <c r="D140" s="3">
        <v>16</v>
      </c>
      <c r="E140" s="3">
        <f>((1/(INDEX(E0!J$4:J$52,C140,1)-INDEX(E0!J$4:J$52,D140,1))))*100000000</f>
        <v>0</v>
      </c>
      <c r="F140" s="4" t="str">
        <f>HYPERLINK("http://141.218.60.56/~jnz1568/getInfo.php?workbook=10_02.xlsx&amp;sheet=A0&amp;row=140&amp;col=6&amp;number=&amp;sourceID=27","")</f>
        <v/>
      </c>
      <c r="G140" s="4" t="str">
        <f>HYPERLINK("http://141.218.60.56/~jnz1568/getInfo.php?workbook=10_02.xlsx&amp;sheet=A0&amp;row=140&amp;col=7&amp;number=&amp;sourceID=32","")</f>
        <v/>
      </c>
      <c r="H140" s="4" t="str">
        <f>HYPERLINK("http://141.218.60.56/~jnz1568/getInfo.php?workbook=10_02.xlsx&amp;sheet=A0&amp;row=140&amp;col=8&amp;number=8792&amp;sourceID=32","8792")</f>
        <v>8792</v>
      </c>
      <c r="I140" s="4" t="str">
        <f>HYPERLINK("http://141.218.60.56/~jnz1568/getInfo.php?workbook=10_02.xlsx&amp;sheet=A0&amp;row=140&amp;col=9&amp;number=5.159e-05&amp;sourceID=32","5.159e-05")</f>
        <v>5.159e-05</v>
      </c>
      <c r="J140" s="4" t="str">
        <f>HYPERLINK("http://141.218.60.56/~jnz1568/getInfo.php?workbook=10_02.xlsx&amp;sheet=A0&amp;row=140&amp;col=10&amp;number=&amp;sourceID=32","")</f>
        <v/>
      </c>
      <c r="K140" s="4" t="str">
        <f>HYPERLINK("http://141.218.60.56/~jnz1568/getInfo.php?workbook=10_02.xlsx&amp;sheet=A0&amp;row=140&amp;col=11&amp;number=5601.5&amp;sourceID=46","5601.5")</f>
        <v>5601.5</v>
      </c>
      <c r="L140" s="4" t="str">
        <f>HYPERLINK("http://141.218.60.56/~jnz1568/getInfo.php?workbook=10_02.xlsx&amp;sheet=A0&amp;row=140&amp;col=12&amp;number=&amp;sourceID=47","")</f>
        <v/>
      </c>
    </row>
    <row r="141" spans="1:12">
      <c r="A141" s="3">
        <v>10</v>
      </c>
      <c r="B141" s="3">
        <v>2</v>
      </c>
      <c r="C141" s="3">
        <v>18</v>
      </c>
      <c r="D141" s="3">
        <v>17</v>
      </c>
      <c r="E141" s="3">
        <f>((1/(INDEX(E0!J$4:J$52,C141,1)-INDEX(E0!J$4:J$52,D141,1))))*100000000</f>
        <v>0</v>
      </c>
      <c r="F141" s="4" t="str">
        <f>HYPERLINK("http://141.218.60.56/~jnz1568/getInfo.php?workbook=10_02.xlsx&amp;sheet=A0&amp;row=141&amp;col=6&amp;number=&amp;sourceID=27","")</f>
        <v/>
      </c>
      <c r="G141" s="4" t="str">
        <f>HYPERLINK("http://141.218.60.56/~jnz1568/getInfo.php?workbook=10_02.xlsx&amp;sheet=A0&amp;row=141&amp;col=7&amp;number=3920000&amp;sourceID=32","3920000")</f>
        <v>3920000</v>
      </c>
      <c r="H141" s="4" t="str">
        <f>HYPERLINK("http://141.218.60.56/~jnz1568/getInfo.php?workbook=10_02.xlsx&amp;sheet=A0&amp;row=141&amp;col=8&amp;number=&amp;sourceID=32","")</f>
        <v/>
      </c>
      <c r="I141" s="4" t="str">
        <f>HYPERLINK("http://141.218.60.56/~jnz1568/getInfo.php?workbook=10_02.xlsx&amp;sheet=A0&amp;row=141&amp;col=9&amp;number=&amp;sourceID=32","")</f>
        <v/>
      </c>
      <c r="J141" s="4" t="str">
        <f>HYPERLINK("http://141.218.60.56/~jnz1568/getInfo.php?workbook=10_02.xlsx&amp;sheet=A0&amp;row=141&amp;col=10&amp;number=7.983&amp;sourceID=32","7.983")</f>
        <v>7.983</v>
      </c>
      <c r="K141" s="4" t="str">
        <f>HYPERLINK("http://141.218.60.56/~jnz1568/getInfo.php?workbook=10_02.xlsx&amp;sheet=A0&amp;row=141&amp;col=11&amp;number=2448600&amp;sourceID=46","2448600")</f>
        <v>2448600</v>
      </c>
      <c r="L141" s="4" t="str">
        <f>HYPERLINK("http://141.218.60.56/~jnz1568/getInfo.php?workbook=10_02.xlsx&amp;sheet=A0&amp;row=141&amp;col=12&amp;number=&amp;sourceID=47","")</f>
        <v/>
      </c>
    </row>
    <row r="142" spans="1:12">
      <c r="A142" s="3">
        <v>10</v>
      </c>
      <c r="B142" s="3">
        <v>2</v>
      </c>
      <c r="C142" s="3">
        <v>19</v>
      </c>
      <c r="D142" s="3">
        <v>2</v>
      </c>
      <c r="E142" s="3">
        <f>((1/(INDEX(E0!J$4:J$52,C142,1)-INDEX(E0!J$4:J$52,D142,1))))*100000000</f>
        <v>0</v>
      </c>
      <c r="F142" s="4" t="str">
        <f>HYPERLINK("http://141.218.60.56/~jnz1568/getInfo.php?workbook=10_02.xlsx&amp;sheet=A0&amp;row=142&amp;col=6&amp;number=&amp;sourceID=27","")</f>
        <v/>
      </c>
      <c r="G142" s="4" t="str">
        <f>HYPERLINK("http://141.218.60.56/~jnz1568/getInfo.php?workbook=10_02.xlsx&amp;sheet=A0&amp;row=142&amp;col=7&amp;number=65040000000&amp;sourceID=32","65040000000")</f>
        <v>65040000000</v>
      </c>
      <c r="H142" s="4" t="str">
        <f>HYPERLINK("http://141.218.60.56/~jnz1568/getInfo.php?workbook=10_02.xlsx&amp;sheet=A0&amp;row=142&amp;col=8&amp;number=&amp;sourceID=32","")</f>
        <v/>
      </c>
      <c r="I142" s="4" t="str">
        <f>HYPERLINK("http://141.218.60.56/~jnz1568/getInfo.php?workbook=10_02.xlsx&amp;sheet=A0&amp;row=142&amp;col=9&amp;number=&amp;sourceID=32","")</f>
        <v/>
      </c>
      <c r="J142" s="4" t="str">
        <f>HYPERLINK("http://141.218.60.56/~jnz1568/getInfo.php?workbook=10_02.xlsx&amp;sheet=A0&amp;row=142&amp;col=10&amp;number=&amp;sourceID=32","")</f>
        <v/>
      </c>
      <c r="K142" s="4" t="str">
        <f>HYPERLINK("http://141.218.60.56/~jnz1568/getInfo.php?workbook=10_02.xlsx&amp;sheet=A0&amp;row=142&amp;col=11&amp;number=63502000000&amp;sourceID=46","63502000000")</f>
        <v>63502000000</v>
      </c>
      <c r="L142" s="4" t="str">
        <f>HYPERLINK("http://141.218.60.56/~jnz1568/getInfo.php?workbook=10_02.xlsx&amp;sheet=A0&amp;row=142&amp;col=12&amp;number=&amp;sourceID=47","")</f>
        <v/>
      </c>
    </row>
    <row r="143" spans="1:12">
      <c r="A143" s="3">
        <v>10</v>
      </c>
      <c r="B143" s="3">
        <v>2</v>
      </c>
      <c r="C143" s="3">
        <v>19</v>
      </c>
      <c r="D143" s="3">
        <v>4</v>
      </c>
      <c r="E143" s="3">
        <f>((1/(INDEX(E0!J$4:J$52,C143,1)-INDEX(E0!J$4:J$52,D143,1))))*100000000</f>
        <v>0</v>
      </c>
      <c r="F143" s="4" t="str">
        <f>HYPERLINK("http://141.218.60.56/~jnz1568/getInfo.php?workbook=10_02.xlsx&amp;sheet=A0&amp;row=143&amp;col=6&amp;number=&amp;sourceID=27","")</f>
        <v/>
      </c>
      <c r="G143" s="4" t="str">
        <f>HYPERLINK("http://141.218.60.56/~jnz1568/getInfo.php?workbook=10_02.xlsx&amp;sheet=A0&amp;row=143&amp;col=7&amp;number=&amp;sourceID=32","")</f>
        <v/>
      </c>
      <c r="H143" s="4" t="str">
        <f>HYPERLINK("http://141.218.60.56/~jnz1568/getInfo.php?workbook=10_02.xlsx&amp;sheet=A0&amp;row=143&amp;col=8&amp;number=&amp;sourceID=32","")</f>
        <v/>
      </c>
      <c r="I143" s="4" t="str">
        <f>HYPERLINK("http://141.218.60.56/~jnz1568/getInfo.php?workbook=10_02.xlsx&amp;sheet=A0&amp;row=143&amp;col=9&amp;number=0.09903&amp;sourceID=32","0.09903")</f>
        <v>0.09903</v>
      </c>
      <c r="J143" s="4" t="str">
        <f>HYPERLINK("http://141.218.60.56/~jnz1568/getInfo.php?workbook=10_02.xlsx&amp;sheet=A0&amp;row=143&amp;col=10&amp;number=&amp;sourceID=32","")</f>
        <v/>
      </c>
      <c r="K143" s="4" t="str">
        <f>HYPERLINK("http://141.218.60.56/~jnz1568/getInfo.php?workbook=10_02.xlsx&amp;sheet=A0&amp;row=143&amp;col=11&amp;number=&amp;sourceID=46","")</f>
        <v/>
      </c>
      <c r="L143" s="4" t="str">
        <f>HYPERLINK("http://141.218.60.56/~jnz1568/getInfo.php?workbook=10_02.xlsx&amp;sheet=A0&amp;row=143&amp;col=12&amp;number=&amp;sourceID=47","")</f>
        <v/>
      </c>
    </row>
    <row r="144" spans="1:12">
      <c r="A144" s="3">
        <v>10</v>
      </c>
      <c r="B144" s="3">
        <v>2</v>
      </c>
      <c r="C144" s="3">
        <v>19</v>
      </c>
      <c r="D144" s="3">
        <v>5</v>
      </c>
      <c r="E144" s="3">
        <f>((1/(INDEX(E0!J$4:J$52,C144,1)-INDEX(E0!J$4:J$52,D144,1))))*100000000</f>
        <v>0</v>
      </c>
      <c r="F144" s="4" t="str">
        <f>HYPERLINK("http://141.218.60.56/~jnz1568/getInfo.php?workbook=10_02.xlsx&amp;sheet=A0&amp;row=144&amp;col=6&amp;number=&amp;sourceID=27","")</f>
        <v/>
      </c>
      <c r="G144" s="4" t="str">
        <f>HYPERLINK("http://141.218.60.56/~jnz1568/getInfo.php?workbook=10_02.xlsx&amp;sheet=A0&amp;row=144&amp;col=7&amp;number=&amp;sourceID=32","")</f>
        <v/>
      </c>
      <c r="H144" s="4" t="str">
        <f>HYPERLINK("http://141.218.60.56/~jnz1568/getInfo.php?workbook=10_02.xlsx&amp;sheet=A0&amp;row=144&amp;col=8&amp;number=5714000&amp;sourceID=32","5714000")</f>
        <v>5714000</v>
      </c>
      <c r="I144" s="4" t="str">
        <f>HYPERLINK("http://141.218.60.56/~jnz1568/getInfo.php?workbook=10_02.xlsx&amp;sheet=A0&amp;row=144&amp;col=9&amp;number=&amp;sourceID=32","")</f>
        <v/>
      </c>
      <c r="J144" s="4" t="str">
        <f>HYPERLINK("http://141.218.60.56/~jnz1568/getInfo.php?workbook=10_02.xlsx&amp;sheet=A0&amp;row=144&amp;col=10&amp;number=&amp;sourceID=32","")</f>
        <v/>
      </c>
      <c r="K144" s="4" t="str">
        <f>HYPERLINK("http://141.218.60.56/~jnz1568/getInfo.php?workbook=10_02.xlsx&amp;sheet=A0&amp;row=144&amp;col=11&amp;number=5435000&amp;sourceID=46","5435000")</f>
        <v>5435000</v>
      </c>
      <c r="L144" s="4" t="str">
        <f>HYPERLINK("http://141.218.60.56/~jnz1568/getInfo.php?workbook=10_02.xlsx&amp;sheet=A0&amp;row=144&amp;col=12&amp;number=&amp;sourceID=47","")</f>
        <v/>
      </c>
    </row>
    <row r="145" spans="1:12">
      <c r="A145" s="3">
        <v>10</v>
      </c>
      <c r="B145" s="3">
        <v>2</v>
      </c>
      <c r="C145" s="3">
        <v>19</v>
      </c>
      <c r="D145" s="3">
        <v>7</v>
      </c>
      <c r="E145" s="3">
        <f>((1/(INDEX(E0!J$4:J$52,C145,1)-INDEX(E0!J$4:J$52,D145,1))))*100000000</f>
        <v>0</v>
      </c>
      <c r="F145" s="4" t="str">
        <f>HYPERLINK("http://141.218.60.56/~jnz1568/getInfo.php?workbook=10_02.xlsx&amp;sheet=A0&amp;row=145&amp;col=6&amp;number=&amp;sourceID=27","")</f>
        <v/>
      </c>
      <c r="G145" s="4" t="str">
        <f>HYPERLINK("http://141.218.60.56/~jnz1568/getInfo.php?workbook=10_02.xlsx&amp;sheet=A0&amp;row=145&amp;col=7&amp;number=&amp;sourceID=32","")</f>
        <v/>
      </c>
      <c r="H145" s="4" t="str">
        <f>HYPERLINK("http://141.218.60.56/~jnz1568/getInfo.php?workbook=10_02.xlsx&amp;sheet=A0&amp;row=145&amp;col=8&amp;number=&amp;sourceID=32","")</f>
        <v/>
      </c>
      <c r="I145" s="4" t="str">
        <f>HYPERLINK("http://141.218.60.56/~jnz1568/getInfo.php?workbook=10_02.xlsx&amp;sheet=A0&amp;row=145&amp;col=9&amp;number=32.89&amp;sourceID=32","32.89")</f>
        <v>32.89</v>
      </c>
      <c r="J145" s="4" t="str">
        <f>HYPERLINK("http://141.218.60.56/~jnz1568/getInfo.php?workbook=10_02.xlsx&amp;sheet=A0&amp;row=145&amp;col=10&amp;number=&amp;sourceID=32","")</f>
        <v/>
      </c>
      <c r="K145" s="4" t="str">
        <f>HYPERLINK("http://141.218.60.56/~jnz1568/getInfo.php?workbook=10_02.xlsx&amp;sheet=A0&amp;row=145&amp;col=11&amp;number=25.257&amp;sourceID=46","25.257")</f>
        <v>25.257</v>
      </c>
      <c r="L145" s="4" t="str">
        <f>HYPERLINK("http://141.218.60.56/~jnz1568/getInfo.php?workbook=10_02.xlsx&amp;sheet=A0&amp;row=145&amp;col=12&amp;number=&amp;sourceID=47","")</f>
        <v/>
      </c>
    </row>
    <row r="146" spans="1:12">
      <c r="A146" s="3">
        <v>10</v>
      </c>
      <c r="B146" s="3">
        <v>2</v>
      </c>
      <c r="C146" s="3">
        <v>19</v>
      </c>
      <c r="D146" s="3">
        <v>8</v>
      </c>
      <c r="E146" s="3">
        <f>((1/(INDEX(E0!J$4:J$52,C146,1)-INDEX(E0!J$4:J$52,D146,1))))*100000000</f>
        <v>0</v>
      </c>
      <c r="F146" s="4" t="str">
        <f>HYPERLINK("http://141.218.60.56/~jnz1568/getInfo.php?workbook=10_02.xlsx&amp;sheet=A0&amp;row=146&amp;col=6&amp;number=&amp;sourceID=27","")</f>
        <v/>
      </c>
      <c r="G146" s="4" t="str">
        <f>HYPERLINK("http://141.218.60.56/~jnz1568/getInfo.php?workbook=10_02.xlsx&amp;sheet=A0&amp;row=146&amp;col=7&amp;number=18850000000&amp;sourceID=32","18850000000")</f>
        <v>18850000000</v>
      </c>
      <c r="H146" s="4" t="str">
        <f>HYPERLINK("http://141.218.60.56/~jnz1568/getInfo.php?workbook=10_02.xlsx&amp;sheet=A0&amp;row=146&amp;col=8&amp;number=&amp;sourceID=32","")</f>
        <v/>
      </c>
      <c r="I146" s="4" t="str">
        <f>HYPERLINK("http://141.218.60.56/~jnz1568/getInfo.php?workbook=10_02.xlsx&amp;sheet=A0&amp;row=146&amp;col=9&amp;number=&amp;sourceID=32","")</f>
        <v/>
      </c>
      <c r="J146" s="4" t="str">
        <f>HYPERLINK("http://141.218.60.56/~jnz1568/getInfo.php?workbook=10_02.xlsx&amp;sheet=A0&amp;row=146&amp;col=10&amp;number=&amp;sourceID=32","")</f>
        <v/>
      </c>
      <c r="K146" s="4" t="str">
        <f>HYPERLINK("http://141.218.60.56/~jnz1568/getInfo.php?workbook=10_02.xlsx&amp;sheet=A0&amp;row=146&amp;col=11&amp;number=18725000000&amp;sourceID=46","18725000000")</f>
        <v>18725000000</v>
      </c>
      <c r="L146" s="4" t="str">
        <f>HYPERLINK("http://141.218.60.56/~jnz1568/getInfo.php?workbook=10_02.xlsx&amp;sheet=A0&amp;row=146&amp;col=12&amp;number=&amp;sourceID=47","")</f>
        <v/>
      </c>
    </row>
    <row r="147" spans="1:12">
      <c r="A147" s="3">
        <v>10</v>
      </c>
      <c r="B147" s="3">
        <v>2</v>
      </c>
      <c r="C147" s="3">
        <v>19</v>
      </c>
      <c r="D147" s="3">
        <v>10</v>
      </c>
      <c r="E147" s="3">
        <f>((1/(INDEX(E0!J$4:J$52,C147,1)-INDEX(E0!J$4:J$52,D147,1))))*100000000</f>
        <v>0</v>
      </c>
      <c r="F147" s="4" t="str">
        <f>HYPERLINK("http://141.218.60.56/~jnz1568/getInfo.php?workbook=10_02.xlsx&amp;sheet=A0&amp;row=147&amp;col=6&amp;number=&amp;sourceID=27","")</f>
        <v/>
      </c>
      <c r="G147" s="4" t="str">
        <f>HYPERLINK("http://141.218.60.56/~jnz1568/getInfo.php?workbook=10_02.xlsx&amp;sheet=A0&amp;row=147&amp;col=7&amp;number=&amp;sourceID=32","")</f>
        <v/>
      </c>
      <c r="H147" s="4" t="str">
        <f>HYPERLINK("http://141.218.60.56/~jnz1568/getInfo.php?workbook=10_02.xlsx&amp;sheet=A0&amp;row=147&amp;col=8&amp;number=&amp;sourceID=32","")</f>
        <v/>
      </c>
      <c r="I147" s="4" t="str">
        <f>HYPERLINK("http://141.218.60.56/~jnz1568/getInfo.php?workbook=10_02.xlsx&amp;sheet=A0&amp;row=147&amp;col=9&amp;number=0.05031&amp;sourceID=32","0.05031")</f>
        <v>0.05031</v>
      </c>
      <c r="J147" s="4" t="str">
        <f>HYPERLINK("http://141.218.60.56/~jnz1568/getInfo.php?workbook=10_02.xlsx&amp;sheet=A0&amp;row=147&amp;col=10&amp;number=&amp;sourceID=32","")</f>
        <v/>
      </c>
      <c r="K147" s="4" t="str">
        <f>HYPERLINK("http://141.218.60.56/~jnz1568/getInfo.php?workbook=10_02.xlsx&amp;sheet=A0&amp;row=147&amp;col=11&amp;number=&amp;sourceID=46","")</f>
        <v/>
      </c>
      <c r="L147" s="4" t="str">
        <f>HYPERLINK("http://141.218.60.56/~jnz1568/getInfo.php?workbook=10_02.xlsx&amp;sheet=A0&amp;row=147&amp;col=12&amp;number=&amp;sourceID=47","")</f>
        <v/>
      </c>
    </row>
    <row r="148" spans="1:12">
      <c r="A148" s="3">
        <v>10</v>
      </c>
      <c r="B148" s="3">
        <v>2</v>
      </c>
      <c r="C148" s="3">
        <v>19</v>
      </c>
      <c r="D148" s="3">
        <v>12</v>
      </c>
      <c r="E148" s="3">
        <f>((1/(INDEX(E0!J$4:J$52,C148,1)-INDEX(E0!J$4:J$52,D148,1))))*100000000</f>
        <v>0</v>
      </c>
      <c r="F148" s="4" t="str">
        <f>HYPERLINK("http://141.218.60.56/~jnz1568/getInfo.php?workbook=10_02.xlsx&amp;sheet=A0&amp;row=148&amp;col=6&amp;number=&amp;sourceID=27","")</f>
        <v/>
      </c>
      <c r="G148" s="4" t="str">
        <f>HYPERLINK("http://141.218.60.56/~jnz1568/getInfo.php?workbook=10_02.xlsx&amp;sheet=A0&amp;row=148&amp;col=7&amp;number=&amp;sourceID=32","")</f>
        <v/>
      </c>
      <c r="H148" s="4" t="str">
        <f>HYPERLINK("http://141.218.60.56/~jnz1568/getInfo.php?workbook=10_02.xlsx&amp;sheet=A0&amp;row=148&amp;col=8&amp;number=1406000&amp;sourceID=32","1406000")</f>
        <v>1406000</v>
      </c>
      <c r="I148" s="4" t="str">
        <f>HYPERLINK("http://141.218.60.56/~jnz1568/getInfo.php?workbook=10_02.xlsx&amp;sheet=A0&amp;row=148&amp;col=9&amp;number=&amp;sourceID=32","")</f>
        <v/>
      </c>
      <c r="J148" s="4" t="str">
        <f>HYPERLINK("http://141.218.60.56/~jnz1568/getInfo.php?workbook=10_02.xlsx&amp;sheet=A0&amp;row=148&amp;col=10&amp;number=&amp;sourceID=32","")</f>
        <v/>
      </c>
      <c r="K148" s="4" t="str">
        <f>HYPERLINK("http://141.218.60.56/~jnz1568/getInfo.php?workbook=10_02.xlsx&amp;sheet=A0&amp;row=148&amp;col=11&amp;number=1402300&amp;sourceID=46","1402300")</f>
        <v>1402300</v>
      </c>
      <c r="L148" s="4" t="str">
        <f>HYPERLINK("http://141.218.60.56/~jnz1568/getInfo.php?workbook=10_02.xlsx&amp;sheet=A0&amp;row=148&amp;col=12&amp;number=&amp;sourceID=47","")</f>
        <v/>
      </c>
    </row>
    <row r="149" spans="1:12">
      <c r="A149" s="3">
        <v>10</v>
      </c>
      <c r="B149" s="3">
        <v>2</v>
      </c>
      <c r="C149" s="3">
        <v>19</v>
      </c>
      <c r="D149" s="3">
        <v>13</v>
      </c>
      <c r="E149" s="3">
        <f>((1/(INDEX(E0!J$4:J$52,C149,1)-INDEX(E0!J$4:J$52,D149,1))))*100000000</f>
        <v>0</v>
      </c>
      <c r="F149" s="4" t="str">
        <f>HYPERLINK("http://141.218.60.56/~jnz1568/getInfo.php?workbook=10_02.xlsx&amp;sheet=A0&amp;row=149&amp;col=6&amp;number=&amp;sourceID=27","")</f>
        <v/>
      </c>
      <c r="G149" s="4" t="str">
        <f>HYPERLINK("http://141.218.60.56/~jnz1568/getInfo.php?workbook=10_02.xlsx&amp;sheet=A0&amp;row=149&amp;col=7&amp;number=2773000000&amp;sourceID=32","2773000000")</f>
        <v>2773000000</v>
      </c>
      <c r="H149" s="4" t="str">
        <f>HYPERLINK("http://141.218.60.56/~jnz1568/getInfo.php?workbook=10_02.xlsx&amp;sheet=A0&amp;row=149&amp;col=8&amp;number=&amp;sourceID=32","")</f>
        <v/>
      </c>
      <c r="I149" s="4" t="str">
        <f>HYPERLINK("http://141.218.60.56/~jnz1568/getInfo.php?workbook=10_02.xlsx&amp;sheet=A0&amp;row=149&amp;col=9&amp;number=&amp;sourceID=32","")</f>
        <v/>
      </c>
      <c r="J149" s="4" t="str">
        <f>HYPERLINK("http://141.218.60.56/~jnz1568/getInfo.php?workbook=10_02.xlsx&amp;sheet=A0&amp;row=149&amp;col=10&amp;number=&amp;sourceID=32","")</f>
        <v/>
      </c>
      <c r="K149" s="4" t="str">
        <f>HYPERLINK("http://141.218.60.56/~jnz1568/getInfo.php?workbook=10_02.xlsx&amp;sheet=A0&amp;row=149&amp;col=11&amp;number=2784100000&amp;sourceID=46","2784100000")</f>
        <v>2784100000</v>
      </c>
      <c r="L149" s="4" t="str">
        <f>HYPERLINK("http://141.218.60.56/~jnz1568/getInfo.php?workbook=10_02.xlsx&amp;sheet=A0&amp;row=149&amp;col=12&amp;number=&amp;sourceID=47","")</f>
        <v/>
      </c>
    </row>
    <row r="150" spans="1:12">
      <c r="A150" s="3">
        <v>10</v>
      </c>
      <c r="B150" s="3">
        <v>2</v>
      </c>
      <c r="C150" s="3">
        <v>19</v>
      </c>
      <c r="D150" s="3">
        <v>14</v>
      </c>
      <c r="E150" s="3">
        <f>((1/(INDEX(E0!J$4:J$52,C150,1)-INDEX(E0!J$4:J$52,D150,1))))*100000000</f>
        <v>0</v>
      </c>
      <c r="F150" s="4" t="str">
        <f>HYPERLINK("http://141.218.60.56/~jnz1568/getInfo.php?workbook=10_02.xlsx&amp;sheet=A0&amp;row=150&amp;col=6&amp;number=&amp;sourceID=27","")</f>
        <v/>
      </c>
      <c r="G150" s="4" t="str">
        <f>HYPERLINK("http://141.218.60.56/~jnz1568/getInfo.php?workbook=10_02.xlsx&amp;sheet=A0&amp;row=150&amp;col=7&amp;number=&amp;sourceID=32","")</f>
        <v/>
      </c>
      <c r="H150" s="4" t="str">
        <f>HYPERLINK("http://141.218.60.56/~jnz1568/getInfo.php?workbook=10_02.xlsx&amp;sheet=A0&amp;row=150&amp;col=8&amp;number=&amp;sourceID=32","")</f>
        <v/>
      </c>
      <c r="I150" s="4" t="str">
        <f>HYPERLINK("http://141.218.60.56/~jnz1568/getInfo.php?workbook=10_02.xlsx&amp;sheet=A0&amp;row=150&amp;col=9&amp;number=&amp;sourceID=32","")</f>
        <v/>
      </c>
      <c r="J150" s="4" t="str">
        <f>HYPERLINK("http://141.218.60.56/~jnz1568/getInfo.php?workbook=10_02.xlsx&amp;sheet=A0&amp;row=150&amp;col=10&amp;number=0.0837&amp;sourceID=32","0.0837")</f>
        <v>0.0837</v>
      </c>
      <c r="K150" s="4" t="str">
        <f>HYPERLINK("http://141.218.60.56/~jnz1568/getInfo.php?workbook=10_02.xlsx&amp;sheet=A0&amp;row=150&amp;col=11&amp;number=&amp;sourceID=46","")</f>
        <v/>
      </c>
      <c r="L150" s="4" t="str">
        <f>HYPERLINK("http://141.218.60.56/~jnz1568/getInfo.php?workbook=10_02.xlsx&amp;sheet=A0&amp;row=150&amp;col=12&amp;number=&amp;sourceID=47","")</f>
        <v/>
      </c>
    </row>
    <row r="151" spans="1:12">
      <c r="A151" s="3">
        <v>10</v>
      </c>
      <c r="B151" s="3">
        <v>2</v>
      </c>
      <c r="C151" s="3">
        <v>19</v>
      </c>
      <c r="D151" s="3">
        <v>15</v>
      </c>
      <c r="E151" s="3">
        <f>((1/(INDEX(E0!J$4:J$52,C151,1)-INDEX(E0!J$4:J$52,D151,1))))*100000000</f>
        <v>0</v>
      </c>
      <c r="F151" s="4" t="str">
        <f>HYPERLINK("http://141.218.60.56/~jnz1568/getInfo.php?workbook=10_02.xlsx&amp;sheet=A0&amp;row=151&amp;col=6&amp;number=&amp;sourceID=27","")</f>
        <v/>
      </c>
      <c r="G151" s="4" t="str">
        <f>HYPERLINK("http://141.218.60.56/~jnz1568/getInfo.php?workbook=10_02.xlsx&amp;sheet=A0&amp;row=151&amp;col=7&amp;number=&amp;sourceID=32","")</f>
        <v/>
      </c>
      <c r="H151" s="4" t="str">
        <f>HYPERLINK("http://141.218.60.56/~jnz1568/getInfo.php?workbook=10_02.xlsx&amp;sheet=A0&amp;row=151&amp;col=8&amp;number=&amp;sourceID=32","")</f>
        <v/>
      </c>
      <c r="I151" s="4" t="str">
        <f>HYPERLINK("http://141.218.60.56/~jnz1568/getInfo.php?workbook=10_02.xlsx&amp;sheet=A0&amp;row=151&amp;col=9&amp;number=&amp;sourceID=32","")</f>
        <v/>
      </c>
      <c r="J151" s="4" t="str">
        <f>HYPERLINK("http://141.218.60.56/~jnz1568/getInfo.php?workbook=10_02.xlsx&amp;sheet=A0&amp;row=151&amp;col=10&amp;number=&amp;sourceID=32","")</f>
        <v/>
      </c>
      <c r="K151" s="4" t="str">
        <f>HYPERLINK("http://141.218.60.56/~jnz1568/getInfo.php?workbook=10_02.xlsx&amp;sheet=A0&amp;row=151&amp;col=11&amp;number=19.559&amp;sourceID=46","19.559")</f>
        <v>19.559</v>
      </c>
      <c r="L151" s="4" t="str">
        <f>HYPERLINK("http://141.218.60.56/~jnz1568/getInfo.php?workbook=10_02.xlsx&amp;sheet=A0&amp;row=151&amp;col=12&amp;number=&amp;sourceID=47","")</f>
        <v/>
      </c>
    </row>
    <row r="152" spans="1:12">
      <c r="A152" s="3">
        <v>10</v>
      </c>
      <c r="B152" s="3">
        <v>2</v>
      </c>
      <c r="C152" s="3">
        <v>19</v>
      </c>
      <c r="D152" s="3">
        <v>16</v>
      </c>
      <c r="E152" s="3">
        <f>((1/(INDEX(E0!J$4:J$52,C152,1)-INDEX(E0!J$4:J$52,D152,1))))*100000000</f>
        <v>0</v>
      </c>
      <c r="F152" s="4" t="str">
        <f>HYPERLINK("http://141.218.60.56/~jnz1568/getInfo.php?workbook=10_02.xlsx&amp;sheet=A0&amp;row=152&amp;col=6&amp;number=&amp;sourceID=27","")</f>
        <v/>
      </c>
      <c r="G152" s="4" t="str">
        <f>HYPERLINK("http://141.218.60.56/~jnz1568/getInfo.php?workbook=10_02.xlsx&amp;sheet=A0&amp;row=152&amp;col=7&amp;number=&amp;sourceID=32","")</f>
        <v/>
      </c>
      <c r="H152" s="4" t="str">
        <f>HYPERLINK("http://141.218.60.56/~jnz1568/getInfo.php?workbook=10_02.xlsx&amp;sheet=A0&amp;row=152&amp;col=8&amp;number=&amp;sourceID=32","")</f>
        <v/>
      </c>
      <c r="I152" s="4" t="str">
        <f>HYPERLINK("http://141.218.60.56/~jnz1568/getInfo.php?workbook=10_02.xlsx&amp;sheet=A0&amp;row=152&amp;col=9&amp;number=&amp;sourceID=32","")</f>
        <v/>
      </c>
      <c r="J152" s="4" t="str">
        <f>HYPERLINK("http://141.218.60.56/~jnz1568/getInfo.php?workbook=10_02.xlsx&amp;sheet=A0&amp;row=152&amp;col=10&amp;number=2.55&amp;sourceID=32","2.55")</f>
        <v>2.55</v>
      </c>
      <c r="K152" s="4" t="str">
        <f>HYPERLINK("http://141.218.60.56/~jnz1568/getInfo.php?workbook=10_02.xlsx&amp;sheet=A0&amp;row=152&amp;col=11&amp;number=2.5311&amp;sourceID=46","2.5311")</f>
        <v>2.5311</v>
      </c>
      <c r="L152" s="4" t="str">
        <f>HYPERLINK("http://141.218.60.56/~jnz1568/getInfo.php?workbook=10_02.xlsx&amp;sheet=A0&amp;row=152&amp;col=12&amp;number=&amp;sourceID=47","")</f>
        <v/>
      </c>
    </row>
    <row r="153" spans="1:12">
      <c r="A153" s="3">
        <v>10</v>
      </c>
      <c r="B153" s="3">
        <v>2</v>
      </c>
      <c r="C153" s="3">
        <v>19</v>
      </c>
      <c r="D153" s="3">
        <v>17</v>
      </c>
      <c r="E153" s="3">
        <f>((1/(INDEX(E0!J$4:J$52,C153,1)-INDEX(E0!J$4:J$52,D153,1))))*100000000</f>
        <v>0</v>
      </c>
      <c r="F153" s="4" t="str">
        <f>HYPERLINK("http://141.218.60.56/~jnz1568/getInfo.php?workbook=10_02.xlsx&amp;sheet=A0&amp;row=153&amp;col=6&amp;number=&amp;sourceID=27","")</f>
        <v/>
      </c>
      <c r="G153" s="4" t="str">
        <f>HYPERLINK("http://141.218.60.56/~jnz1568/getInfo.php?workbook=10_02.xlsx&amp;sheet=A0&amp;row=153&amp;col=7&amp;number=&amp;sourceID=32","")</f>
        <v/>
      </c>
      <c r="H153" s="4" t="str">
        <f>HYPERLINK("http://141.218.60.56/~jnz1568/getInfo.php?workbook=10_02.xlsx&amp;sheet=A0&amp;row=153&amp;col=8&amp;number=&amp;sourceID=32","")</f>
        <v/>
      </c>
      <c r="I153" s="4" t="str">
        <f>HYPERLINK("http://141.218.60.56/~jnz1568/getInfo.php?workbook=10_02.xlsx&amp;sheet=A0&amp;row=153&amp;col=9&amp;number=2.169&amp;sourceID=32","2.169")</f>
        <v>2.169</v>
      </c>
      <c r="J153" s="4" t="str">
        <f>HYPERLINK("http://141.218.60.56/~jnz1568/getInfo.php?workbook=10_02.xlsx&amp;sheet=A0&amp;row=153&amp;col=10&amp;number=&amp;sourceID=32","")</f>
        <v/>
      </c>
      <c r="K153" s="4" t="str">
        <f>HYPERLINK("http://141.218.60.56/~jnz1568/getInfo.php?workbook=10_02.xlsx&amp;sheet=A0&amp;row=153&amp;col=11&amp;number=1.7298&amp;sourceID=46","1.7298")</f>
        <v>1.7298</v>
      </c>
      <c r="L153" s="4" t="str">
        <f>HYPERLINK("http://141.218.60.56/~jnz1568/getInfo.php?workbook=10_02.xlsx&amp;sheet=A0&amp;row=153&amp;col=12&amp;number=&amp;sourceID=47","")</f>
        <v/>
      </c>
    </row>
    <row r="154" spans="1:12">
      <c r="A154" s="3">
        <v>10</v>
      </c>
      <c r="B154" s="3">
        <v>2</v>
      </c>
      <c r="C154" s="3">
        <v>19</v>
      </c>
      <c r="D154" s="3">
        <v>18</v>
      </c>
      <c r="E154" s="3">
        <f>((1/(INDEX(E0!J$4:J$52,C154,1)-INDEX(E0!J$4:J$52,D154,1))))*100000000</f>
        <v>0</v>
      </c>
      <c r="F154" s="4" t="str">
        <f>HYPERLINK("http://141.218.60.56/~jnz1568/getInfo.php?workbook=10_02.xlsx&amp;sheet=A0&amp;row=154&amp;col=6&amp;number=&amp;sourceID=27","")</f>
        <v/>
      </c>
      <c r="G154" s="4" t="str">
        <f>HYPERLINK("http://141.218.60.56/~jnz1568/getInfo.php?workbook=10_02.xlsx&amp;sheet=A0&amp;row=154&amp;col=7&amp;number=2994000&amp;sourceID=32","2994000")</f>
        <v>2994000</v>
      </c>
      <c r="H154" s="4" t="str">
        <f>HYPERLINK("http://141.218.60.56/~jnz1568/getInfo.php?workbook=10_02.xlsx&amp;sheet=A0&amp;row=154&amp;col=8&amp;number=&amp;sourceID=32","")</f>
        <v/>
      </c>
      <c r="I154" s="4" t="str">
        <f>HYPERLINK("http://141.218.60.56/~jnz1568/getInfo.php?workbook=10_02.xlsx&amp;sheet=A0&amp;row=154&amp;col=9&amp;number=&amp;sourceID=32","")</f>
        <v/>
      </c>
      <c r="J154" s="4" t="str">
        <f>HYPERLINK("http://141.218.60.56/~jnz1568/getInfo.php?workbook=10_02.xlsx&amp;sheet=A0&amp;row=154&amp;col=10&amp;number=&amp;sourceID=32","")</f>
        <v/>
      </c>
      <c r="K154" s="4" t="str">
        <f>HYPERLINK("http://141.218.60.56/~jnz1568/getInfo.php?workbook=10_02.xlsx&amp;sheet=A0&amp;row=154&amp;col=11&amp;number=2866600&amp;sourceID=46","2866600")</f>
        <v>2866600</v>
      </c>
      <c r="L154" s="4" t="str">
        <f>HYPERLINK("http://141.218.60.56/~jnz1568/getInfo.php?workbook=10_02.xlsx&amp;sheet=A0&amp;row=154&amp;col=12&amp;number=&amp;sourceID=47","")</f>
        <v/>
      </c>
    </row>
    <row r="155" spans="1:12">
      <c r="A155" s="3">
        <v>10</v>
      </c>
      <c r="B155" s="3">
        <v>2</v>
      </c>
      <c r="C155" s="3">
        <v>20</v>
      </c>
      <c r="D155" s="3">
        <v>1</v>
      </c>
      <c r="E155" s="3">
        <f>((1/(INDEX(E0!J$4:J$52,C155,1)-INDEX(E0!J$4:J$52,D155,1))))*100000000</f>
        <v>0</v>
      </c>
      <c r="F155" s="4" t="str">
        <f>HYPERLINK("http://141.218.60.56/~jnz1568/getInfo.php?workbook=10_02.xlsx&amp;sheet=A0&amp;row=155&amp;col=6&amp;number=&amp;sourceID=27","")</f>
        <v/>
      </c>
      <c r="G155" s="4" t="str">
        <f>HYPERLINK("http://141.218.60.56/~jnz1568/getInfo.php?workbook=10_02.xlsx&amp;sheet=A0&amp;row=155&amp;col=7&amp;number=684500000&amp;sourceID=32","684500000")</f>
        <v>684500000</v>
      </c>
      <c r="H155" s="4" t="str">
        <f>HYPERLINK("http://141.218.60.56/~jnz1568/getInfo.php?workbook=10_02.xlsx&amp;sheet=A0&amp;row=155&amp;col=8&amp;number=&amp;sourceID=32","")</f>
        <v/>
      </c>
      <c r="I155" s="4" t="str">
        <f>HYPERLINK("http://141.218.60.56/~jnz1568/getInfo.php?workbook=10_02.xlsx&amp;sheet=A0&amp;row=155&amp;col=9&amp;number=&amp;sourceID=32","")</f>
        <v/>
      </c>
      <c r="J155" s="4" t="str">
        <f>HYPERLINK("http://141.218.60.56/~jnz1568/getInfo.php?workbook=10_02.xlsx&amp;sheet=A0&amp;row=155&amp;col=10&amp;number=&amp;sourceID=32","")</f>
        <v/>
      </c>
      <c r="K155" s="4" t="str">
        <f>HYPERLINK("http://141.218.60.56/~jnz1568/getInfo.php?workbook=10_02.xlsx&amp;sheet=A0&amp;row=155&amp;col=11&amp;number=688810000&amp;sourceID=46","688810000")</f>
        <v>688810000</v>
      </c>
      <c r="L155" s="4" t="str">
        <f>HYPERLINK("http://141.218.60.56/~jnz1568/getInfo.php?workbook=10_02.xlsx&amp;sheet=A0&amp;row=155&amp;col=12&amp;number=&amp;sourceID=47","")</f>
        <v/>
      </c>
    </row>
    <row r="156" spans="1:12">
      <c r="A156" s="3">
        <v>10</v>
      </c>
      <c r="B156" s="3">
        <v>2</v>
      </c>
      <c r="C156" s="3">
        <v>20</v>
      </c>
      <c r="D156" s="3">
        <v>2</v>
      </c>
      <c r="E156" s="3">
        <f>((1/(INDEX(E0!J$4:J$52,C156,1)-INDEX(E0!J$4:J$52,D156,1))))*100000000</f>
        <v>0</v>
      </c>
      <c r="F156" s="4" t="str">
        <f>HYPERLINK("http://141.218.60.56/~jnz1568/getInfo.php?workbook=10_02.xlsx&amp;sheet=A0&amp;row=156&amp;col=6&amp;number=&amp;sourceID=27","")</f>
        <v/>
      </c>
      <c r="G156" s="4" t="str">
        <f>HYPERLINK("http://141.218.60.56/~jnz1568/getInfo.php?workbook=10_02.xlsx&amp;sheet=A0&amp;row=156&amp;col=7&amp;number=64970000000&amp;sourceID=32","64970000000")</f>
        <v>64970000000</v>
      </c>
      <c r="H156" s="4" t="str">
        <f>HYPERLINK("http://141.218.60.56/~jnz1568/getInfo.php?workbook=10_02.xlsx&amp;sheet=A0&amp;row=156&amp;col=8&amp;number=&amp;sourceID=32","")</f>
        <v/>
      </c>
      <c r="I156" s="4" t="str">
        <f>HYPERLINK("http://141.218.60.56/~jnz1568/getInfo.php?workbook=10_02.xlsx&amp;sheet=A0&amp;row=156&amp;col=9&amp;number=&amp;sourceID=32","")</f>
        <v/>
      </c>
      <c r="J156" s="4" t="str">
        <f>HYPERLINK("http://141.218.60.56/~jnz1568/getInfo.php?workbook=10_02.xlsx&amp;sheet=A0&amp;row=156&amp;col=10&amp;number=&amp;sourceID=32","")</f>
        <v/>
      </c>
      <c r="K156" s="4" t="str">
        <f>HYPERLINK("http://141.218.60.56/~jnz1568/getInfo.php?workbook=10_02.xlsx&amp;sheet=A0&amp;row=156&amp;col=11&amp;number=63247000000&amp;sourceID=46","63247000000")</f>
        <v>63247000000</v>
      </c>
      <c r="L156" s="4" t="str">
        <f>HYPERLINK("http://141.218.60.56/~jnz1568/getInfo.php?workbook=10_02.xlsx&amp;sheet=A0&amp;row=156&amp;col=12&amp;number=&amp;sourceID=47","")</f>
        <v/>
      </c>
    </row>
    <row r="157" spans="1:12">
      <c r="A157" s="3">
        <v>10</v>
      </c>
      <c r="B157" s="3">
        <v>2</v>
      </c>
      <c r="C157" s="3">
        <v>20</v>
      </c>
      <c r="D157" s="3">
        <v>3</v>
      </c>
      <c r="E157" s="3">
        <f>((1/(INDEX(E0!J$4:J$52,C157,1)-INDEX(E0!J$4:J$52,D157,1))))*100000000</f>
        <v>0</v>
      </c>
      <c r="F157" s="4" t="str">
        <f>HYPERLINK("http://141.218.60.56/~jnz1568/getInfo.php?workbook=10_02.xlsx&amp;sheet=A0&amp;row=157&amp;col=6&amp;number=&amp;sourceID=27","")</f>
        <v/>
      </c>
      <c r="G157" s="4" t="str">
        <f>HYPERLINK("http://141.218.60.56/~jnz1568/getInfo.php?workbook=10_02.xlsx&amp;sheet=A0&amp;row=157&amp;col=7&amp;number=&amp;sourceID=32","")</f>
        <v/>
      </c>
      <c r="H157" s="4" t="str">
        <f>HYPERLINK("http://141.218.60.56/~jnz1568/getInfo.php?workbook=10_02.xlsx&amp;sheet=A0&amp;row=157&amp;col=8&amp;number=&amp;sourceID=32","")</f>
        <v/>
      </c>
      <c r="I157" s="4" t="str">
        <f>HYPERLINK("http://141.218.60.56/~jnz1568/getInfo.php?workbook=10_02.xlsx&amp;sheet=A0&amp;row=157&amp;col=9&amp;number=1.099&amp;sourceID=32","1.099")</f>
        <v>1.099</v>
      </c>
      <c r="J157" s="4" t="str">
        <f>HYPERLINK("http://141.218.60.56/~jnz1568/getInfo.php?workbook=10_02.xlsx&amp;sheet=A0&amp;row=157&amp;col=10&amp;number=&amp;sourceID=32","")</f>
        <v/>
      </c>
      <c r="K157" s="4" t="str">
        <f>HYPERLINK("http://141.218.60.56/~jnz1568/getInfo.php?workbook=10_02.xlsx&amp;sheet=A0&amp;row=157&amp;col=11&amp;number=1.1664&amp;sourceID=46","1.1664")</f>
        <v>1.1664</v>
      </c>
      <c r="L157" s="4" t="str">
        <f>HYPERLINK("http://141.218.60.56/~jnz1568/getInfo.php?workbook=10_02.xlsx&amp;sheet=A0&amp;row=157&amp;col=12&amp;number=&amp;sourceID=47","")</f>
        <v/>
      </c>
    </row>
    <row r="158" spans="1:12">
      <c r="A158" s="3">
        <v>10</v>
      </c>
      <c r="B158" s="3">
        <v>2</v>
      </c>
      <c r="C158" s="3">
        <v>20</v>
      </c>
      <c r="D158" s="3">
        <v>4</v>
      </c>
      <c r="E158" s="3">
        <f>((1/(INDEX(E0!J$4:J$52,C158,1)-INDEX(E0!J$4:J$52,D158,1))))*100000000</f>
        <v>0</v>
      </c>
      <c r="F158" s="4" t="str">
        <f>HYPERLINK("http://141.218.60.56/~jnz1568/getInfo.php?workbook=10_02.xlsx&amp;sheet=A0&amp;row=158&amp;col=6&amp;number=&amp;sourceID=27","")</f>
        <v/>
      </c>
      <c r="G158" s="4" t="str">
        <f>HYPERLINK("http://141.218.60.56/~jnz1568/getInfo.php?workbook=10_02.xlsx&amp;sheet=A0&amp;row=158&amp;col=7&amp;number=&amp;sourceID=32","")</f>
        <v/>
      </c>
      <c r="H158" s="4" t="str">
        <f>HYPERLINK("http://141.218.60.56/~jnz1568/getInfo.php?workbook=10_02.xlsx&amp;sheet=A0&amp;row=158&amp;col=8&amp;number=1427000&amp;sourceID=32","1427000")</f>
        <v>1427000</v>
      </c>
      <c r="I158" s="4" t="str">
        <f>HYPERLINK("http://141.218.60.56/~jnz1568/getInfo.php?workbook=10_02.xlsx&amp;sheet=A0&amp;row=158&amp;col=9&amp;number=3.989&amp;sourceID=32","3.989")</f>
        <v>3.989</v>
      </c>
      <c r="J158" s="4" t="str">
        <f>HYPERLINK("http://141.218.60.56/~jnz1568/getInfo.php?workbook=10_02.xlsx&amp;sheet=A0&amp;row=158&amp;col=10&amp;number=&amp;sourceID=32","")</f>
        <v/>
      </c>
      <c r="K158" s="4" t="str">
        <f>HYPERLINK("http://141.218.60.56/~jnz1568/getInfo.php?workbook=10_02.xlsx&amp;sheet=A0&amp;row=158&amp;col=11&amp;number=1380100&amp;sourceID=46","1380100")</f>
        <v>1380100</v>
      </c>
      <c r="L158" s="4" t="str">
        <f>HYPERLINK("http://141.218.60.56/~jnz1568/getInfo.php?workbook=10_02.xlsx&amp;sheet=A0&amp;row=158&amp;col=12&amp;number=&amp;sourceID=47","")</f>
        <v/>
      </c>
    </row>
    <row r="159" spans="1:12">
      <c r="A159" s="3">
        <v>10</v>
      </c>
      <c r="B159" s="3">
        <v>2</v>
      </c>
      <c r="C159" s="3">
        <v>20</v>
      </c>
      <c r="D159" s="3">
        <v>5</v>
      </c>
      <c r="E159" s="3">
        <f>((1/(INDEX(E0!J$4:J$52,C159,1)-INDEX(E0!J$4:J$52,D159,1))))*100000000</f>
        <v>0</v>
      </c>
      <c r="F159" s="4" t="str">
        <f>HYPERLINK("http://141.218.60.56/~jnz1568/getInfo.php?workbook=10_02.xlsx&amp;sheet=A0&amp;row=159&amp;col=6&amp;number=&amp;sourceID=27","")</f>
        <v/>
      </c>
      <c r="G159" s="4" t="str">
        <f>HYPERLINK("http://141.218.60.56/~jnz1568/getInfo.php?workbook=10_02.xlsx&amp;sheet=A0&amp;row=159&amp;col=7&amp;number=&amp;sourceID=32","")</f>
        <v/>
      </c>
      <c r="H159" s="4" t="str">
        <f>HYPERLINK("http://141.218.60.56/~jnz1568/getInfo.php?workbook=10_02.xlsx&amp;sheet=A0&amp;row=159&amp;col=8&amp;number=4283000&amp;sourceID=32","4283000")</f>
        <v>4283000</v>
      </c>
      <c r="I159" s="4" t="str">
        <f>HYPERLINK("http://141.218.60.56/~jnz1568/getInfo.php?workbook=10_02.xlsx&amp;sheet=A0&amp;row=159&amp;col=9&amp;number=8.703&amp;sourceID=32","8.703")</f>
        <v>8.703</v>
      </c>
      <c r="J159" s="4" t="str">
        <f>HYPERLINK("http://141.218.60.56/~jnz1568/getInfo.php?workbook=10_02.xlsx&amp;sheet=A0&amp;row=159&amp;col=10&amp;number=&amp;sourceID=32","")</f>
        <v/>
      </c>
      <c r="K159" s="4" t="str">
        <f>HYPERLINK("http://141.218.60.56/~jnz1568/getInfo.php?workbook=10_02.xlsx&amp;sheet=A0&amp;row=159&amp;col=11&amp;number=4064900&amp;sourceID=46","4064900")</f>
        <v>4064900</v>
      </c>
      <c r="L159" s="4" t="str">
        <f>HYPERLINK("http://141.218.60.56/~jnz1568/getInfo.php?workbook=10_02.xlsx&amp;sheet=A0&amp;row=159&amp;col=12&amp;number=&amp;sourceID=47","")</f>
        <v/>
      </c>
    </row>
    <row r="160" spans="1:12">
      <c r="A160" s="3">
        <v>10</v>
      </c>
      <c r="B160" s="3">
        <v>2</v>
      </c>
      <c r="C160" s="3">
        <v>20</v>
      </c>
      <c r="D160" s="3">
        <v>6</v>
      </c>
      <c r="E160" s="3">
        <f>((1/(INDEX(E0!J$4:J$52,C160,1)-INDEX(E0!J$4:J$52,D160,1))))*100000000</f>
        <v>0</v>
      </c>
      <c r="F160" s="4" t="str">
        <f>HYPERLINK("http://141.218.60.56/~jnz1568/getInfo.php?workbook=10_02.xlsx&amp;sheet=A0&amp;row=160&amp;col=6&amp;number=&amp;sourceID=27","")</f>
        <v/>
      </c>
      <c r="G160" s="4" t="str">
        <f>HYPERLINK("http://141.218.60.56/~jnz1568/getInfo.php?workbook=10_02.xlsx&amp;sheet=A0&amp;row=160&amp;col=7&amp;number=44240000&amp;sourceID=32","44240000")</f>
        <v>44240000</v>
      </c>
      <c r="H160" s="4" t="str">
        <f>HYPERLINK("http://141.218.60.56/~jnz1568/getInfo.php?workbook=10_02.xlsx&amp;sheet=A0&amp;row=160&amp;col=8&amp;number=&amp;sourceID=32","")</f>
        <v/>
      </c>
      <c r="I160" s="4" t="str">
        <f>HYPERLINK("http://141.218.60.56/~jnz1568/getInfo.php?workbook=10_02.xlsx&amp;sheet=A0&amp;row=160&amp;col=9&amp;number=&amp;sourceID=32","")</f>
        <v/>
      </c>
      <c r="J160" s="4" t="str">
        <f>HYPERLINK("http://141.218.60.56/~jnz1568/getInfo.php?workbook=10_02.xlsx&amp;sheet=A0&amp;row=160&amp;col=10&amp;number=&amp;sourceID=32","")</f>
        <v/>
      </c>
      <c r="K160" s="4" t="str">
        <f>HYPERLINK("http://141.218.60.56/~jnz1568/getInfo.php?workbook=10_02.xlsx&amp;sheet=A0&amp;row=160&amp;col=11&amp;number=35911000&amp;sourceID=46","35911000")</f>
        <v>35911000</v>
      </c>
      <c r="L160" s="4" t="str">
        <f>HYPERLINK("http://141.218.60.56/~jnz1568/getInfo.php?workbook=10_02.xlsx&amp;sheet=A0&amp;row=160&amp;col=12&amp;number=&amp;sourceID=47","")</f>
        <v/>
      </c>
    </row>
    <row r="161" spans="1:12">
      <c r="A161" s="3">
        <v>10</v>
      </c>
      <c r="B161" s="3">
        <v>2</v>
      </c>
      <c r="C161" s="3">
        <v>20</v>
      </c>
      <c r="D161" s="3">
        <v>7</v>
      </c>
      <c r="E161" s="3">
        <f>((1/(INDEX(E0!J$4:J$52,C161,1)-INDEX(E0!J$4:J$52,D161,1))))*100000000</f>
        <v>0</v>
      </c>
      <c r="F161" s="4" t="str">
        <f>HYPERLINK("http://141.218.60.56/~jnz1568/getInfo.php?workbook=10_02.xlsx&amp;sheet=A0&amp;row=161&amp;col=6&amp;number=&amp;sourceID=27","")</f>
        <v/>
      </c>
      <c r="G161" s="4" t="str">
        <f>HYPERLINK("http://141.218.60.56/~jnz1568/getInfo.php?workbook=10_02.xlsx&amp;sheet=A0&amp;row=161&amp;col=7&amp;number=&amp;sourceID=32","")</f>
        <v/>
      </c>
      <c r="H161" s="4" t="str">
        <f>HYPERLINK("http://141.218.60.56/~jnz1568/getInfo.php?workbook=10_02.xlsx&amp;sheet=A0&amp;row=161&amp;col=8&amp;number=7506&amp;sourceID=32","7506")</f>
        <v>7506</v>
      </c>
      <c r="I161" s="4" t="str">
        <f>HYPERLINK("http://141.218.60.56/~jnz1568/getInfo.php?workbook=10_02.xlsx&amp;sheet=A0&amp;row=161&amp;col=9&amp;number=10.5&amp;sourceID=32","10.5")</f>
        <v>10.5</v>
      </c>
      <c r="J161" s="4" t="str">
        <f>HYPERLINK("http://141.218.60.56/~jnz1568/getInfo.php?workbook=10_02.xlsx&amp;sheet=A0&amp;row=161&amp;col=10&amp;number=&amp;sourceID=32","")</f>
        <v/>
      </c>
      <c r="K161" s="4" t="str">
        <f>HYPERLINK("http://141.218.60.56/~jnz1568/getInfo.php?workbook=10_02.xlsx&amp;sheet=A0&amp;row=161&amp;col=11&amp;number=4453.7&amp;sourceID=46","4453.7")</f>
        <v>4453.7</v>
      </c>
      <c r="L161" s="4" t="str">
        <f>HYPERLINK("http://141.218.60.56/~jnz1568/getInfo.php?workbook=10_02.xlsx&amp;sheet=A0&amp;row=161&amp;col=12&amp;number=&amp;sourceID=47","")</f>
        <v/>
      </c>
    </row>
    <row r="162" spans="1:12">
      <c r="A162" s="3">
        <v>10</v>
      </c>
      <c r="B162" s="3">
        <v>2</v>
      </c>
      <c r="C162" s="3">
        <v>20</v>
      </c>
      <c r="D162" s="3">
        <v>8</v>
      </c>
      <c r="E162" s="3">
        <f>((1/(INDEX(E0!J$4:J$52,C162,1)-INDEX(E0!J$4:J$52,D162,1))))*100000000</f>
        <v>0</v>
      </c>
      <c r="F162" s="4" t="str">
        <f>HYPERLINK("http://141.218.60.56/~jnz1568/getInfo.php?workbook=10_02.xlsx&amp;sheet=A0&amp;row=162&amp;col=6&amp;number=&amp;sourceID=27","")</f>
        <v/>
      </c>
      <c r="G162" s="4" t="str">
        <f>HYPERLINK("http://141.218.60.56/~jnz1568/getInfo.php?workbook=10_02.xlsx&amp;sheet=A0&amp;row=162&amp;col=7&amp;number=18820000000&amp;sourceID=32","18820000000")</f>
        <v>18820000000</v>
      </c>
      <c r="H162" s="4" t="str">
        <f>HYPERLINK("http://141.218.60.56/~jnz1568/getInfo.php?workbook=10_02.xlsx&amp;sheet=A0&amp;row=162&amp;col=8&amp;number=&amp;sourceID=32","")</f>
        <v/>
      </c>
      <c r="I162" s="4" t="str">
        <f>HYPERLINK("http://141.218.60.56/~jnz1568/getInfo.php?workbook=10_02.xlsx&amp;sheet=A0&amp;row=162&amp;col=9&amp;number=&amp;sourceID=32","")</f>
        <v/>
      </c>
      <c r="J162" s="4" t="str">
        <f>HYPERLINK("http://141.218.60.56/~jnz1568/getInfo.php?workbook=10_02.xlsx&amp;sheet=A0&amp;row=162&amp;col=10&amp;number=13.66&amp;sourceID=32","13.66")</f>
        <v>13.66</v>
      </c>
      <c r="K162" s="4" t="str">
        <f>HYPERLINK("http://141.218.60.56/~jnz1568/getInfo.php?workbook=10_02.xlsx&amp;sheet=A0&amp;row=162&amp;col=11&amp;number=18674000000&amp;sourceID=46","18674000000")</f>
        <v>18674000000</v>
      </c>
      <c r="L162" s="4" t="str">
        <f>HYPERLINK("http://141.218.60.56/~jnz1568/getInfo.php?workbook=10_02.xlsx&amp;sheet=A0&amp;row=162&amp;col=12&amp;number=&amp;sourceID=47","")</f>
        <v/>
      </c>
    </row>
    <row r="163" spans="1:12">
      <c r="A163" s="3">
        <v>10</v>
      </c>
      <c r="B163" s="3">
        <v>2</v>
      </c>
      <c r="C163" s="3">
        <v>20</v>
      </c>
      <c r="D163" s="3">
        <v>9</v>
      </c>
      <c r="E163" s="3">
        <f>((1/(INDEX(E0!J$4:J$52,C163,1)-INDEX(E0!J$4:J$52,D163,1))))*100000000</f>
        <v>0</v>
      </c>
      <c r="F163" s="4" t="str">
        <f>HYPERLINK("http://141.218.60.56/~jnz1568/getInfo.php?workbook=10_02.xlsx&amp;sheet=A0&amp;row=163&amp;col=6&amp;number=&amp;sourceID=27","")</f>
        <v/>
      </c>
      <c r="G163" s="4" t="str">
        <f>HYPERLINK("http://141.218.60.56/~jnz1568/getInfo.php?workbook=10_02.xlsx&amp;sheet=A0&amp;row=163&amp;col=7&amp;number=&amp;sourceID=32","")</f>
        <v/>
      </c>
      <c r="H163" s="4" t="str">
        <f>HYPERLINK("http://141.218.60.56/~jnz1568/getInfo.php?workbook=10_02.xlsx&amp;sheet=A0&amp;row=163&amp;col=8&amp;number=&amp;sourceID=32","")</f>
        <v/>
      </c>
      <c r="I163" s="4" t="str">
        <f>HYPERLINK("http://141.218.60.56/~jnz1568/getInfo.php?workbook=10_02.xlsx&amp;sheet=A0&amp;row=163&amp;col=9&amp;number=0.05471&amp;sourceID=32","0.05471")</f>
        <v>0.05471</v>
      </c>
      <c r="J163" s="4" t="str">
        <f>HYPERLINK("http://141.218.60.56/~jnz1568/getInfo.php?workbook=10_02.xlsx&amp;sheet=A0&amp;row=163&amp;col=10&amp;number=&amp;sourceID=32","")</f>
        <v/>
      </c>
      <c r="K163" s="4" t="str">
        <f>HYPERLINK("http://141.218.60.56/~jnz1568/getInfo.php?workbook=10_02.xlsx&amp;sheet=A0&amp;row=163&amp;col=11&amp;number=&amp;sourceID=46","")</f>
        <v/>
      </c>
      <c r="L163" s="4" t="str">
        <f>HYPERLINK("http://141.218.60.56/~jnz1568/getInfo.php?workbook=10_02.xlsx&amp;sheet=A0&amp;row=163&amp;col=12&amp;number=&amp;sourceID=47","")</f>
        <v/>
      </c>
    </row>
    <row r="164" spans="1:12">
      <c r="A164" s="3">
        <v>10</v>
      </c>
      <c r="B164" s="3">
        <v>2</v>
      </c>
      <c r="C164" s="3">
        <v>20</v>
      </c>
      <c r="D164" s="3">
        <v>10</v>
      </c>
      <c r="E164" s="3">
        <f>((1/(INDEX(E0!J$4:J$52,C164,1)-INDEX(E0!J$4:J$52,D164,1))))*100000000</f>
        <v>0</v>
      </c>
      <c r="F164" s="4" t="str">
        <f>HYPERLINK("http://141.218.60.56/~jnz1568/getInfo.php?workbook=10_02.xlsx&amp;sheet=A0&amp;row=164&amp;col=6&amp;number=&amp;sourceID=27","")</f>
        <v/>
      </c>
      <c r="G164" s="4" t="str">
        <f>HYPERLINK("http://141.218.60.56/~jnz1568/getInfo.php?workbook=10_02.xlsx&amp;sheet=A0&amp;row=164&amp;col=7&amp;number=&amp;sourceID=32","")</f>
        <v/>
      </c>
      <c r="H164" s="4" t="str">
        <f>HYPERLINK("http://141.218.60.56/~jnz1568/getInfo.php?workbook=10_02.xlsx&amp;sheet=A0&amp;row=164&amp;col=8&amp;number=350500&amp;sourceID=32","350500")</f>
        <v>350500</v>
      </c>
      <c r="I164" s="4" t="str">
        <f>HYPERLINK("http://141.218.60.56/~jnz1568/getInfo.php?workbook=10_02.xlsx&amp;sheet=A0&amp;row=164&amp;col=9&amp;number=0.06296&amp;sourceID=32","0.06296")</f>
        <v>0.06296</v>
      </c>
      <c r="J164" s="4" t="str">
        <f>HYPERLINK("http://141.218.60.56/~jnz1568/getInfo.php?workbook=10_02.xlsx&amp;sheet=A0&amp;row=164&amp;col=10&amp;number=&amp;sourceID=32","")</f>
        <v/>
      </c>
      <c r="K164" s="4" t="str">
        <f>HYPERLINK("http://141.218.60.56/~jnz1568/getInfo.php?workbook=10_02.xlsx&amp;sheet=A0&amp;row=164&amp;col=11&amp;number=350210&amp;sourceID=46","350210")</f>
        <v>350210</v>
      </c>
      <c r="L164" s="4" t="str">
        <f>HYPERLINK("http://141.218.60.56/~jnz1568/getInfo.php?workbook=10_02.xlsx&amp;sheet=A0&amp;row=164&amp;col=12&amp;number=&amp;sourceID=47","")</f>
        <v/>
      </c>
    </row>
    <row r="165" spans="1:12">
      <c r="A165" s="3">
        <v>10</v>
      </c>
      <c r="B165" s="3">
        <v>2</v>
      </c>
      <c r="C165" s="3">
        <v>20</v>
      </c>
      <c r="D165" s="3">
        <v>11</v>
      </c>
      <c r="E165" s="3">
        <f>((1/(INDEX(E0!J$4:J$52,C165,1)-INDEX(E0!J$4:J$52,D165,1))))*100000000</f>
        <v>0</v>
      </c>
      <c r="F165" s="4" t="str">
        <f>HYPERLINK("http://141.218.60.56/~jnz1568/getInfo.php?workbook=10_02.xlsx&amp;sheet=A0&amp;row=165&amp;col=6&amp;number=&amp;sourceID=27","")</f>
        <v/>
      </c>
      <c r="G165" s="4" t="str">
        <f>HYPERLINK("http://141.218.60.56/~jnz1568/getInfo.php?workbook=10_02.xlsx&amp;sheet=A0&amp;row=165&amp;col=7&amp;number=14000000&amp;sourceID=32","14000000")</f>
        <v>14000000</v>
      </c>
      <c r="H165" s="4" t="str">
        <f>HYPERLINK("http://141.218.60.56/~jnz1568/getInfo.php?workbook=10_02.xlsx&amp;sheet=A0&amp;row=165&amp;col=8&amp;number=&amp;sourceID=32","")</f>
        <v/>
      </c>
      <c r="I165" s="4" t="str">
        <f>HYPERLINK("http://141.218.60.56/~jnz1568/getInfo.php?workbook=10_02.xlsx&amp;sheet=A0&amp;row=165&amp;col=9&amp;number=&amp;sourceID=32","")</f>
        <v/>
      </c>
      <c r="J165" s="4" t="str">
        <f>HYPERLINK("http://141.218.60.56/~jnz1568/getInfo.php?workbook=10_02.xlsx&amp;sheet=A0&amp;row=165&amp;col=10&amp;number=&amp;sourceID=32","")</f>
        <v/>
      </c>
      <c r="K165" s="4" t="str">
        <f>HYPERLINK("http://141.218.60.56/~jnz1568/getInfo.php?workbook=10_02.xlsx&amp;sheet=A0&amp;row=165&amp;col=11&amp;number=10149000&amp;sourceID=46","10149000")</f>
        <v>10149000</v>
      </c>
      <c r="L165" s="4" t="str">
        <f>HYPERLINK("http://141.218.60.56/~jnz1568/getInfo.php?workbook=10_02.xlsx&amp;sheet=A0&amp;row=165&amp;col=12&amp;number=&amp;sourceID=47","")</f>
        <v/>
      </c>
    </row>
    <row r="166" spans="1:12">
      <c r="A166" s="3">
        <v>10</v>
      </c>
      <c r="B166" s="3">
        <v>2</v>
      </c>
      <c r="C166" s="3">
        <v>20</v>
      </c>
      <c r="D166" s="3">
        <v>12</v>
      </c>
      <c r="E166" s="3">
        <f>((1/(INDEX(E0!J$4:J$52,C166,1)-INDEX(E0!J$4:J$52,D166,1))))*100000000</f>
        <v>0</v>
      </c>
      <c r="F166" s="4" t="str">
        <f>HYPERLINK("http://141.218.60.56/~jnz1568/getInfo.php?workbook=10_02.xlsx&amp;sheet=A0&amp;row=166&amp;col=6&amp;number=&amp;sourceID=27","")</f>
        <v/>
      </c>
      <c r="G166" s="4" t="str">
        <f>HYPERLINK("http://141.218.60.56/~jnz1568/getInfo.php?workbook=10_02.xlsx&amp;sheet=A0&amp;row=166&amp;col=7&amp;number=&amp;sourceID=32","")</f>
        <v/>
      </c>
      <c r="H166" s="4" t="str">
        <f>HYPERLINK("http://141.218.60.56/~jnz1568/getInfo.php?workbook=10_02.xlsx&amp;sheet=A0&amp;row=166&amp;col=8&amp;number=1054000&amp;sourceID=32","1054000")</f>
        <v>1054000</v>
      </c>
      <c r="I166" s="4" t="str">
        <f>HYPERLINK("http://141.218.60.56/~jnz1568/getInfo.php?workbook=10_02.xlsx&amp;sheet=A0&amp;row=166&amp;col=9&amp;number=0.7998&amp;sourceID=32","0.7998")</f>
        <v>0.7998</v>
      </c>
      <c r="J166" s="4" t="str">
        <f>HYPERLINK("http://141.218.60.56/~jnz1568/getInfo.php?workbook=10_02.xlsx&amp;sheet=A0&amp;row=166&amp;col=10&amp;number=&amp;sourceID=32","")</f>
        <v/>
      </c>
      <c r="K166" s="4" t="str">
        <f>HYPERLINK("http://141.218.60.56/~jnz1568/getInfo.php?workbook=10_02.xlsx&amp;sheet=A0&amp;row=166&amp;col=11&amp;number=1050700&amp;sourceID=46","1050700")</f>
        <v>1050700</v>
      </c>
      <c r="L166" s="4" t="str">
        <f>HYPERLINK("http://141.218.60.56/~jnz1568/getInfo.php?workbook=10_02.xlsx&amp;sheet=A0&amp;row=166&amp;col=12&amp;number=&amp;sourceID=47","")</f>
        <v/>
      </c>
    </row>
    <row r="167" spans="1:12">
      <c r="A167" s="3">
        <v>10</v>
      </c>
      <c r="B167" s="3">
        <v>2</v>
      </c>
      <c r="C167" s="3">
        <v>20</v>
      </c>
      <c r="D167" s="3">
        <v>13</v>
      </c>
      <c r="E167" s="3">
        <f>((1/(INDEX(E0!J$4:J$52,C167,1)-INDEX(E0!J$4:J$52,D167,1))))*100000000</f>
        <v>0</v>
      </c>
      <c r="F167" s="4" t="str">
        <f>HYPERLINK("http://141.218.60.56/~jnz1568/getInfo.php?workbook=10_02.xlsx&amp;sheet=A0&amp;row=167&amp;col=6&amp;number=&amp;sourceID=27","")</f>
        <v/>
      </c>
      <c r="G167" s="4" t="str">
        <f>HYPERLINK("http://141.218.60.56/~jnz1568/getInfo.php?workbook=10_02.xlsx&amp;sheet=A0&amp;row=167&amp;col=7&amp;number=694400000&amp;sourceID=32","694400000")</f>
        <v>694400000</v>
      </c>
      <c r="H167" s="4" t="str">
        <f>HYPERLINK("http://141.218.60.56/~jnz1568/getInfo.php?workbook=10_02.xlsx&amp;sheet=A0&amp;row=167&amp;col=8&amp;number=&amp;sourceID=32","")</f>
        <v/>
      </c>
      <c r="I167" s="4" t="str">
        <f>HYPERLINK("http://141.218.60.56/~jnz1568/getInfo.php?workbook=10_02.xlsx&amp;sheet=A0&amp;row=167&amp;col=9&amp;number=&amp;sourceID=32","")</f>
        <v/>
      </c>
      <c r="J167" s="4" t="str">
        <f>HYPERLINK("http://141.218.60.56/~jnz1568/getInfo.php?workbook=10_02.xlsx&amp;sheet=A0&amp;row=167&amp;col=10&amp;number=0.0776&amp;sourceID=32","0.0776")</f>
        <v>0.0776</v>
      </c>
      <c r="K167" s="4" t="str">
        <f>HYPERLINK("http://141.218.60.56/~jnz1568/getInfo.php?workbook=10_02.xlsx&amp;sheet=A0&amp;row=167&amp;col=11&amp;number=696490000&amp;sourceID=46","696490000")</f>
        <v>696490000</v>
      </c>
      <c r="L167" s="4" t="str">
        <f>HYPERLINK("http://141.218.60.56/~jnz1568/getInfo.php?workbook=10_02.xlsx&amp;sheet=A0&amp;row=167&amp;col=12&amp;number=&amp;sourceID=47","")</f>
        <v/>
      </c>
    </row>
    <row r="168" spans="1:12">
      <c r="A168" s="3">
        <v>10</v>
      </c>
      <c r="B168" s="3">
        <v>2</v>
      </c>
      <c r="C168" s="3">
        <v>20</v>
      </c>
      <c r="D168" s="3">
        <v>14</v>
      </c>
      <c r="E168" s="3">
        <f>((1/(INDEX(E0!J$4:J$52,C168,1)-INDEX(E0!J$4:J$52,D168,1))))*100000000</f>
        <v>0</v>
      </c>
      <c r="F168" s="4" t="str">
        <f>HYPERLINK("http://141.218.60.56/~jnz1568/getInfo.php?workbook=10_02.xlsx&amp;sheet=A0&amp;row=168&amp;col=6&amp;number=&amp;sourceID=27","")</f>
        <v/>
      </c>
      <c r="G168" s="4" t="str">
        <f>HYPERLINK("http://141.218.60.56/~jnz1568/getInfo.php?workbook=10_02.xlsx&amp;sheet=A0&amp;row=168&amp;col=7&amp;number=2015000000&amp;sourceID=32","2015000000")</f>
        <v>2015000000</v>
      </c>
      <c r="H168" s="4" t="str">
        <f>HYPERLINK("http://141.218.60.56/~jnz1568/getInfo.php?workbook=10_02.xlsx&amp;sheet=A0&amp;row=168&amp;col=8&amp;number=&amp;sourceID=32","")</f>
        <v/>
      </c>
      <c r="I168" s="4" t="str">
        <f>HYPERLINK("http://141.218.60.56/~jnz1568/getInfo.php?workbook=10_02.xlsx&amp;sheet=A0&amp;row=168&amp;col=9&amp;number=&amp;sourceID=32","")</f>
        <v/>
      </c>
      <c r="J168" s="4" t="str">
        <f>HYPERLINK("http://141.218.60.56/~jnz1568/getInfo.php?workbook=10_02.xlsx&amp;sheet=A0&amp;row=168&amp;col=10&amp;number=1.209&amp;sourceID=32","1.209")</f>
        <v>1.209</v>
      </c>
      <c r="K168" s="4" t="str">
        <f>HYPERLINK("http://141.218.60.56/~jnz1568/getInfo.php?workbook=10_02.xlsx&amp;sheet=A0&amp;row=168&amp;col=11&amp;number=2044700000&amp;sourceID=46","2044700000")</f>
        <v>2044700000</v>
      </c>
      <c r="L168" s="4" t="str">
        <f>HYPERLINK("http://141.218.60.56/~jnz1568/getInfo.php?workbook=10_02.xlsx&amp;sheet=A0&amp;row=168&amp;col=12&amp;number=&amp;sourceID=47","")</f>
        <v/>
      </c>
    </row>
    <row r="169" spans="1:12">
      <c r="A169" s="3">
        <v>10</v>
      </c>
      <c r="B169" s="3">
        <v>2</v>
      </c>
      <c r="C169" s="3">
        <v>20</v>
      </c>
      <c r="D169" s="3">
        <v>15</v>
      </c>
      <c r="E169" s="3">
        <f>((1/(INDEX(E0!J$4:J$52,C169,1)-INDEX(E0!J$4:J$52,D169,1))))*100000000</f>
        <v>0</v>
      </c>
      <c r="F169" s="4" t="str">
        <f>HYPERLINK("http://141.218.60.56/~jnz1568/getInfo.php?workbook=10_02.xlsx&amp;sheet=A0&amp;row=169&amp;col=6&amp;number=&amp;sourceID=27","")</f>
        <v/>
      </c>
      <c r="G169" s="4" t="str">
        <f>HYPERLINK("http://141.218.60.56/~jnz1568/getInfo.php?workbook=10_02.xlsx&amp;sheet=A0&amp;row=169&amp;col=7&amp;number=&amp;sourceID=32","")</f>
        <v/>
      </c>
      <c r="H169" s="4" t="str">
        <f>HYPERLINK("http://141.218.60.56/~jnz1568/getInfo.php?workbook=10_02.xlsx&amp;sheet=A0&amp;row=169&amp;col=8&amp;number=&amp;sourceID=32","")</f>
        <v/>
      </c>
      <c r="I169" s="4" t="str">
        <f>HYPERLINK("http://141.218.60.56/~jnz1568/getInfo.php?workbook=10_02.xlsx&amp;sheet=A0&amp;row=169&amp;col=9&amp;number=&amp;sourceID=32","")</f>
        <v/>
      </c>
      <c r="J169" s="4" t="str">
        <f>HYPERLINK("http://141.218.60.56/~jnz1568/getInfo.php?workbook=10_02.xlsx&amp;sheet=A0&amp;row=169&amp;col=10&amp;number=0.2151&amp;sourceID=32","0.2151")</f>
        <v>0.2151</v>
      </c>
      <c r="K169" s="4" t="str">
        <f>HYPERLINK("http://141.218.60.56/~jnz1568/getInfo.php?workbook=10_02.xlsx&amp;sheet=A0&amp;row=169&amp;col=11&amp;number=13.245&amp;sourceID=46","13.245")</f>
        <v>13.245</v>
      </c>
      <c r="L169" s="4" t="str">
        <f>HYPERLINK("http://141.218.60.56/~jnz1568/getInfo.php?workbook=10_02.xlsx&amp;sheet=A0&amp;row=169&amp;col=12&amp;number=&amp;sourceID=47","")</f>
        <v/>
      </c>
    </row>
    <row r="170" spans="1:12">
      <c r="A170" s="3">
        <v>10</v>
      </c>
      <c r="B170" s="3">
        <v>2</v>
      </c>
      <c r="C170" s="3">
        <v>20</v>
      </c>
      <c r="D170" s="3">
        <v>16</v>
      </c>
      <c r="E170" s="3">
        <f>((1/(INDEX(E0!J$4:J$52,C170,1)-INDEX(E0!J$4:J$52,D170,1))))*100000000</f>
        <v>0</v>
      </c>
      <c r="F170" s="4" t="str">
        <f>HYPERLINK("http://141.218.60.56/~jnz1568/getInfo.php?workbook=10_02.xlsx&amp;sheet=A0&amp;row=170&amp;col=6&amp;number=&amp;sourceID=27","")</f>
        <v/>
      </c>
      <c r="G170" s="4" t="str">
        <f>HYPERLINK("http://141.218.60.56/~jnz1568/getInfo.php?workbook=10_02.xlsx&amp;sheet=A0&amp;row=170&amp;col=7&amp;number=65890000&amp;sourceID=32","65890000")</f>
        <v>65890000</v>
      </c>
      <c r="H170" s="4" t="str">
        <f>HYPERLINK("http://141.218.60.56/~jnz1568/getInfo.php?workbook=10_02.xlsx&amp;sheet=A0&amp;row=170&amp;col=8&amp;number=&amp;sourceID=32","")</f>
        <v/>
      </c>
      <c r="I170" s="4" t="str">
        <f>HYPERLINK("http://141.218.60.56/~jnz1568/getInfo.php?workbook=10_02.xlsx&amp;sheet=A0&amp;row=170&amp;col=9&amp;number=&amp;sourceID=32","")</f>
        <v/>
      </c>
      <c r="J170" s="4" t="str">
        <f>HYPERLINK("http://141.218.60.56/~jnz1568/getInfo.php?workbook=10_02.xlsx&amp;sheet=A0&amp;row=170&amp;col=10&amp;number=2.338&amp;sourceID=32","2.338")</f>
        <v>2.338</v>
      </c>
      <c r="K170" s="4" t="str">
        <f>HYPERLINK("http://141.218.60.56/~jnz1568/getInfo.php?workbook=10_02.xlsx&amp;sheet=A0&amp;row=170&amp;col=11&amp;number=41402000&amp;sourceID=46","41402000")</f>
        <v>41402000</v>
      </c>
      <c r="L170" s="4" t="str">
        <f>HYPERLINK("http://141.218.60.56/~jnz1568/getInfo.php?workbook=10_02.xlsx&amp;sheet=A0&amp;row=170&amp;col=12&amp;number=&amp;sourceID=47","")</f>
        <v/>
      </c>
    </row>
    <row r="171" spans="1:12">
      <c r="A171" s="3">
        <v>10</v>
      </c>
      <c r="B171" s="3">
        <v>2</v>
      </c>
      <c r="C171" s="3">
        <v>20</v>
      </c>
      <c r="D171" s="3">
        <v>17</v>
      </c>
      <c r="E171" s="3">
        <f>((1/(INDEX(E0!J$4:J$52,C171,1)-INDEX(E0!J$4:J$52,D171,1))))*100000000</f>
        <v>0</v>
      </c>
      <c r="F171" s="4" t="str">
        <f>HYPERLINK("http://141.218.60.56/~jnz1568/getInfo.php?workbook=10_02.xlsx&amp;sheet=A0&amp;row=171&amp;col=6&amp;number=&amp;sourceID=27","")</f>
        <v/>
      </c>
      <c r="G171" s="4" t="str">
        <f>HYPERLINK("http://141.218.60.56/~jnz1568/getInfo.php?workbook=10_02.xlsx&amp;sheet=A0&amp;row=171&amp;col=7&amp;number=&amp;sourceID=32","")</f>
        <v/>
      </c>
      <c r="H171" s="4" t="str">
        <f>HYPERLINK("http://141.218.60.56/~jnz1568/getInfo.php?workbook=10_02.xlsx&amp;sheet=A0&amp;row=171&amp;col=8&amp;number=2032&amp;sourceID=32","2032")</f>
        <v>2032</v>
      </c>
      <c r="I171" s="4" t="str">
        <f>HYPERLINK("http://141.218.60.56/~jnz1568/getInfo.php?workbook=10_02.xlsx&amp;sheet=A0&amp;row=171&amp;col=9&amp;number=0.6357&amp;sourceID=32","0.6357")</f>
        <v>0.6357</v>
      </c>
      <c r="J171" s="4" t="str">
        <f>HYPERLINK("http://141.218.60.56/~jnz1568/getInfo.php?workbook=10_02.xlsx&amp;sheet=A0&amp;row=171&amp;col=10&amp;number=&amp;sourceID=32","")</f>
        <v/>
      </c>
      <c r="K171" s="4" t="str">
        <f>HYPERLINK("http://141.218.60.56/~jnz1568/getInfo.php?workbook=10_02.xlsx&amp;sheet=A0&amp;row=171&amp;col=11&amp;number=1391.4&amp;sourceID=46","1391.4")</f>
        <v>1391.4</v>
      </c>
      <c r="L171" s="4" t="str">
        <f>HYPERLINK("http://141.218.60.56/~jnz1568/getInfo.php?workbook=10_02.xlsx&amp;sheet=A0&amp;row=171&amp;col=12&amp;number=&amp;sourceID=47","")</f>
        <v/>
      </c>
    </row>
    <row r="172" spans="1:12">
      <c r="A172" s="3">
        <v>10</v>
      </c>
      <c r="B172" s="3">
        <v>2</v>
      </c>
      <c r="C172" s="3">
        <v>20</v>
      </c>
      <c r="D172" s="3">
        <v>18</v>
      </c>
      <c r="E172" s="3">
        <f>((1/(INDEX(E0!J$4:J$52,C172,1)-INDEX(E0!J$4:J$52,D172,1))))*100000000</f>
        <v>0</v>
      </c>
      <c r="F172" s="4" t="str">
        <f>HYPERLINK("http://141.218.60.56/~jnz1568/getInfo.php?workbook=10_02.xlsx&amp;sheet=A0&amp;row=172&amp;col=6&amp;number=&amp;sourceID=27","")</f>
        <v/>
      </c>
      <c r="G172" s="4" t="str">
        <f>HYPERLINK("http://141.218.60.56/~jnz1568/getInfo.php?workbook=10_02.xlsx&amp;sheet=A0&amp;row=172&amp;col=7&amp;number=3034000&amp;sourceID=32","3034000")</f>
        <v>3034000</v>
      </c>
      <c r="H172" s="4" t="str">
        <f>HYPERLINK("http://141.218.60.56/~jnz1568/getInfo.php?workbook=10_02.xlsx&amp;sheet=A0&amp;row=172&amp;col=8&amp;number=&amp;sourceID=32","")</f>
        <v/>
      </c>
      <c r="I172" s="4" t="str">
        <f>HYPERLINK("http://141.218.60.56/~jnz1568/getInfo.php?workbook=10_02.xlsx&amp;sheet=A0&amp;row=172&amp;col=9&amp;number=&amp;sourceID=32","")</f>
        <v/>
      </c>
      <c r="J172" s="4" t="str">
        <f>HYPERLINK("http://141.218.60.56/~jnz1568/getInfo.php?workbook=10_02.xlsx&amp;sheet=A0&amp;row=172&amp;col=10&amp;number=8.099e-07&amp;sourceID=32","8.099e-07")</f>
        <v>8.099e-07</v>
      </c>
      <c r="K172" s="4" t="str">
        <f>HYPERLINK("http://141.218.60.56/~jnz1568/getInfo.php?workbook=10_02.xlsx&amp;sheet=A0&amp;row=172&amp;col=11&amp;number=2922300&amp;sourceID=46","2922300")</f>
        <v>2922300</v>
      </c>
      <c r="L172" s="4" t="str">
        <f>HYPERLINK("http://141.218.60.56/~jnz1568/getInfo.php?workbook=10_02.xlsx&amp;sheet=A0&amp;row=172&amp;col=12&amp;number=&amp;sourceID=47","")</f>
        <v/>
      </c>
    </row>
    <row r="173" spans="1:12">
      <c r="A173" s="3">
        <v>10</v>
      </c>
      <c r="B173" s="3">
        <v>2</v>
      </c>
      <c r="C173" s="3">
        <v>21</v>
      </c>
      <c r="D173" s="3">
        <v>2</v>
      </c>
      <c r="E173" s="3">
        <f>((1/(INDEX(E0!J$4:J$52,C173,1)-INDEX(E0!J$4:J$52,D173,1))))*100000000</f>
        <v>0</v>
      </c>
      <c r="F173" s="4" t="str">
        <f>HYPERLINK("http://141.218.60.56/~jnz1568/getInfo.php?workbook=10_02.xlsx&amp;sheet=A0&amp;row=173&amp;col=6&amp;number=&amp;sourceID=27","")</f>
        <v/>
      </c>
      <c r="G173" s="4" t="str">
        <f>HYPERLINK("http://141.218.60.56/~jnz1568/getInfo.php?workbook=10_02.xlsx&amp;sheet=A0&amp;row=173&amp;col=7&amp;number=&amp;sourceID=32","")</f>
        <v/>
      </c>
      <c r="H173" s="4" t="str">
        <f>HYPERLINK("http://141.218.60.56/~jnz1568/getInfo.php?workbook=10_02.xlsx&amp;sheet=A0&amp;row=173&amp;col=8&amp;number=&amp;sourceID=32","")</f>
        <v/>
      </c>
      <c r="I173" s="4" t="str">
        <f>HYPERLINK("http://141.218.60.56/~jnz1568/getInfo.php?workbook=10_02.xlsx&amp;sheet=A0&amp;row=173&amp;col=9&amp;number=5.321&amp;sourceID=32","5.321")</f>
        <v>5.321</v>
      </c>
      <c r="J173" s="4" t="str">
        <f>HYPERLINK("http://141.218.60.56/~jnz1568/getInfo.php?workbook=10_02.xlsx&amp;sheet=A0&amp;row=173&amp;col=10&amp;number=&amp;sourceID=32","")</f>
        <v/>
      </c>
      <c r="K173" s="4" t="str">
        <f>HYPERLINK("http://141.218.60.56/~jnz1568/getInfo.php?workbook=10_02.xlsx&amp;sheet=A0&amp;row=173&amp;col=11&amp;number=5.7181&amp;sourceID=46","5.7181")</f>
        <v>5.7181</v>
      </c>
      <c r="L173" s="4" t="str">
        <f>HYPERLINK("http://141.218.60.56/~jnz1568/getInfo.php?workbook=10_02.xlsx&amp;sheet=A0&amp;row=173&amp;col=12&amp;number=&amp;sourceID=47","")</f>
        <v/>
      </c>
    </row>
    <row r="174" spans="1:12">
      <c r="A174" s="3">
        <v>10</v>
      </c>
      <c r="B174" s="3">
        <v>2</v>
      </c>
      <c r="C174" s="3">
        <v>21</v>
      </c>
      <c r="D174" s="3">
        <v>4</v>
      </c>
      <c r="E174" s="3">
        <f>((1/(INDEX(E0!J$4:J$52,C174,1)-INDEX(E0!J$4:J$52,D174,1))))*100000000</f>
        <v>0</v>
      </c>
      <c r="F174" s="4" t="str">
        <f>HYPERLINK("http://141.218.60.56/~jnz1568/getInfo.php?workbook=10_02.xlsx&amp;sheet=A0&amp;row=174&amp;col=6&amp;number=&amp;sourceID=27","")</f>
        <v/>
      </c>
      <c r="G174" s="4" t="str">
        <f>HYPERLINK("http://141.218.60.56/~jnz1568/getInfo.php?workbook=10_02.xlsx&amp;sheet=A0&amp;row=174&amp;col=7&amp;number=10030000&amp;sourceID=32","10030000")</f>
        <v>10030000</v>
      </c>
      <c r="H174" s="4" t="str">
        <f>HYPERLINK("http://141.218.60.56/~jnz1568/getInfo.php?workbook=10_02.xlsx&amp;sheet=A0&amp;row=174&amp;col=8&amp;number=&amp;sourceID=32","")</f>
        <v/>
      </c>
      <c r="I174" s="4" t="str">
        <f>HYPERLINK("http://141.218.60.56/~jnz1568/getInfo.php?workbook=10_02.xlsx&amp;sheet=A0&amp;row=174&amp;col=9&amp;number=&amp;sourceID=32","")</f>
        <v/>
      </c>
      <c r="J174" s="4" t="str">
        <f>HYPERLINK("http://141.218.60.56/~jnz1568/getInfo.php?workbook=10_02.xlsx&amp;sheet=A0&amp;row=174&amp;col=10&amp;number=&amp;sourceID=32","")</f>
        <v/>
      </c>
      <c r="K174" s="4" t="str">
        <f>HYPERLINK("http://141.218.60.56/~jnz1568/getInfo.php?workbook=10_02.xlsx&amp;sheet=A0&amp;row=174&amp;col=11&amp;number=18459000&amp;sourceID=46","18459000")</f>
        <v>18459000</v>
      </c>
      <c r="L174" s="4" t="str">
        <f>HYPERLINK("http://141.218.60.56/~jnz1568/getInfo.php?workbook=10_02.xlsx&amp;sheet=A0&amp;row=174&amp;col=12&amp;number=&amp;sourceID=47","")</f>
        <v/>
      </c>
    </row>
    <row r="175" spans="1:12">
      <c r="A175" s="3">
        <v>10</v>
      </c>
      <c r="B175" s="3">
        <v>2</v>
      </c>
      <c r="C175" s="3">
        <v>21</v>
      </c>
      <c r="D175" s="3">
        <v>5</v>
      </c>
      <c r="E175" s="3">
        <f>((1/(INDEX(E0!J$4:J$52,C175,1)-INDEX(E0!J$4:J$52,D175,1))))*100000000</f>
        <v>0</v>
      </c>
      <c r="F175" s="4" t="str">
        <f>HYPERLINK("http://141.218.60.56/~jnz1568/getInfo.php?workbook=10_02.xlsx&amp;sheet=A0&amp;row=175&amp;col=6&amp;number=&amp;sourceID=27","")</f>
        <v/>
      </c>
      <c r="G175" s="4" t="str">
        <f>HYPERLINK("http://141.218.60.56/~jnz1568/getInfo.php?workbook=10_02.xlsx&amp;sheet=A0&amp;row=175&amp;col=7&amp;number=&amp;sourceID=32","")</f>
        <v/>
      </c>
      <c r="H175" s="4" t="str">
        <f>HYPERLINK("http://141.218.60.56/~jnz1568/getInfo.php?workbook=10_02.xlsx&amp;sheet=A0&amp;row=175&amp;col=8&amp;number=&amp;sourceID=32","")</f>
        <v/>
      </c>
      <c r="I175" s="4" t="str">
        <f>HYPERLINK("http://141.218.60.56/~jnz1568/getInfo.php?workbook=10_02.xlsx&amp;sheet=A0&amp;row=175&amp;col=9&amp;number=&amp;sourceID=32","")</f>
        <v/>
      </c>
      <c r="J175" s="4" t="str">
        <f>HYPERLINK("http://141.218.60.56/~jnz1568/getInfo.php?workbook=10_02.xlsx&amp;sheet=A0&amp;row=175&amp;col=10&amp;number=359.4&amp;sourceID=32","359.4")</f>
        <v>359.4</v>
      </c>
      <c r="K175" s="4" t="str">
        <f>HYPERLINK("http://141.218.60.56/~jnz1568/getInfo.php?workbook=10_02.xlsx&amp;sheet=A0&amp;row=175&amp;col=11&amp;number=327.65&amp;sourceID=46","327.65")</f>
        <v>327.65</v>
      </c>
      <c r="L175" s="4" t="str">
        <f>HYPERLINK("http://141.218.60.56/~jnz1568/getInfo.php?workbook=10_02.xlsx&amp;sheet=A0&amp;row=175&amp;col=12&amp;number=&amp;sourceID=47","")</f>
        <v/>
      </c>
    </row>
    <row r="176" spans="1:12">
      <c r="A176" s="3">
        <v>10</v>
      </c>
      <c r="B176" s="3">
        <v>2</v>
      </c>
      <c r="C176" s="3">
        <v>21</v>
      </c>
      <c r="D176" s="3">
        <v>7</v>
      </c>
      <c r="E176" s="3">
        <f>((1/(INDEX(E0!J$4:J$52,C176,1)-INDEX(E0!J$4:J$52,D176,1))))*100000000</f>
        <v>0</v>
      </c>
      <c r="F176" s="4" t="str">
        <f>HYPERLINK("http://141.218.60.56/~jnz1568/getInfo.php?workbook=10_02.xlsx&amp;sheet=A0&amp;row=176&amp;col=6&amp;number=&amp;sourceID=27","")</f>
        <v/>
      </c>
      <c r="G176" s="4" t="str">
        <f>HYPERLINK("http://141.218.60.56/~jnz1568/getInfo.php?workbook=10_02.xlsx&amp;sheet=A0&amp;row=176&amp;col=7&amp;number=21190000000&amp;sourceID=32","21190000000")</f>
        <v>21190000000</v>
      </c>
      <c r="H176" s="4" t="str">
        <f>HYPERLINK("http://141.218.60.56/~jnz1568/getInfo.php?workbook=10_02.xlsx&amp;sheet=A0&amp;row=176&amp;col=8&amp;number=&amp;sourceID=32","")</f>
        <v/>
      </c>
      <c r="I176" s="4" t="str">
        <f>HYPERLINK("http://141.218.60.56/~jnz1568/getInfo.php?workbook=10_02.xlsx&amp;sheet=A0&amp;row=176&amp;col=9&amp;number=&amp;sourceID=32","")</f>
        <v/>
      </c>
      <c r="J176" s="4" t="str">
        <f>HYPERLINK("http://141.218.60.56/~jnz1568/getInfo.php?workbook=10_02.xlsx&amp;sheet=A0&amp;row=176&amp;col=10&amp;number=&amp;sourceID=32","")</f>
        <v/>
      </c>
      <c r="K176" s="4" t="str">
        <f>HYPERLINK("http://141.218.60.56/~jnz1568/getInfo.php?workbook=10_02.xlsx&amp;sheet=A0&amp;row=176&amp;col=11&amp;number=24416000000&amp;sourceID=46","24416000000")</f>
        <v>24416000000</v>
      </c>
      <c r="L176" s="4" t="str">
        <f>HYPERLINK("http://141.218.60.56/~jnz1568/getInfo.php?workbook=10_02.xlsx&amp;sheet=A0&amp;row=176&amp;col=12&amp;number=&amp;sourceID=47","")</f>
        <v/>
      </c>
    </row>
    <row r="177" spans="1:12">
      <c r="A177" s="3">
        <v>10</v>
      </c>
      <c r="B177" s="3">
        <v>2</v>
      </c>
      <c r="C177" s="3">
        <v>21</v>
      </c>
      <c r="D177" s="3">
        <v>8</v>
      </c>
      <c r="E177" s="3">
        <f>((1/(INDEX(E0!J$4:J$52,C177,1)-INDEX(E0!J$4:J$52,D177,1))))*100000000</f>
        <v>0</v>
      </c>
      <c r="F177" s="4" t="str">
        <f>HYPERLINK("http://141.218.60.56/~jnz1568/getInfo.php?workbook=10_02.xlsx&amp;sheet=A0&amp;row=177&amp;col=6&amp;number=&amp;sourceID=27","")</f>
        <v/>
      </c>
      <c r="G177" s="4" t="str">
        <f>HYPERLINK("http://141.218.60.56/~jnz1568/getInfo.php?workbook=10_02.xlsx&amp;sheet=A0&amp;row=177&amp;col=7&amp;number=&amp;sourceID=32","")</f>
        <v/>
      </c>
      <c r="H177" s="4" t="str">
        <f>HYPERLINK("http://141.218.60.56/~jnz1568/getInfo.php?workbook=10_02.xlsx&amp;sheet=A0&amp;row=177&amp;col=8&amp;number=&amp;sourceID=32","")</f>
        <v/>
      </c>
      <c r="I177" s="4" t="str">
        <f>HYPERLINK("http://141.218.60.56/~jnz1568/getInfo.php?workbook=10_02.xlsx&amp;sheet=A0&amp;row=177&amp;col=9&amp;number=0.02356&amp;sourceID=32","0.02356")</f>
        <v>0.02356</v>
      </c>
      <c r="J177" s="4" t="str">
        <f>HYPERLINK("http://141.218.60.56/~jnz1568/getInfo.php?workbook=10_02.xlsx&amp;sheet=A0&amp;row=177&amp;col=10&amp;number=&amp;sourceID=32","")</f>
        <v/>
      </c>
      <c r="K177" s="4" t="str">
        <f>HYPERLINK("http://141.218.60.56/~jnz1568/getInfo.php?workbook=10_02.xlsx&amp;sheet=A0&amp;row=177&amp;col=11&amp;number=&amp;sourceID=46","")</f>
        <v/>
      </c>
      <c r="L177" s="4" t="str">
        <f>HYPERLINK("http://141.218.60.56/~jnz1568/getInfo.php?workbook=10_02.xlsx&amp;sheet=A0&amp;row=177&amp;col=12&amp;number=&amp;sourceID=47","")</f>
        <v/>
      </c>
    </row>
    <row r="178" spans="1:12">
      <c r="A178" s="3">
        <v>10</v>
      </c>
      <c r="B178" s="3">
        <v>2</v>
      </c>
      <c r="C178" s="3">
        <v>21</v>
      </c>
      <c r="D178" s="3">
        <v>10</v>
      </c>
      <c r="E178" s="3">
        <f>((1/(INDEX(E0!J$4:J$52,C178,1)-INDEX(E0!J$4:J$52,D178,1))))*100000000</f>
        <v>0</v>
      </c>
      <c r="F178" s="4" t="str">
        <f>HYPERLINK("http://141.218.60.56/~jnz1568/getInfo.php?workbook=10_02.xlsx&amp;sheet=A0&amp;row=178&amp;col=6&amp;number=&amp;sourceID=27","")</f>
        <v/>
      </c>
      <c r="G178" s="4" t="str">
        <f>HYPERLINK("http://141.218.60.56/~jnz1568/getInfo.php?workbook=10_02.xlsx&amp;sheet=A0&amp;row=178&amp;col=7&amp;number=7951000&amp;sourceID=32","7951000")</f>
        <v>7951000</v>
      </c>
      <c r="H178" s="4" t="str">
        <f>HYPERLINK("http://141.218.60.56/~jnz1568/getInfo.php?workbook=10_02.xlsx&amp;sheet=A0&amp;row=178&amp;col=8&amp;number=&amp;sourceID=32","")</f>
        <v/>
      </c>
      <c r="I178" s="4" t="str">
        <f>HYPERLINK("http://141.218.60.56/~jnz1568/getInfo.php?workbook=10_02.xlsx&amp;sheet=A0&amp;row=178&amp;col=9&amp;number=&amp;sourceID=32","")</f>
        <v/>
      </c>
      <c r="J178" s="4" t="str">
        <f>HYPERLINK("http://141.218.60.56/~jnz1568/getInfo.php?workbook=10_02.xlsx&amp;sheet=A0&amp;row=178&amp;col=10&amp;number=&amp;sourceID=32","")</f>
        <v/>
      </c>
      <c r="K178" s="4" t="str">
        <f>HYPERLINK("http://141.218.60.56/~jnz1568/getInfo.php?workbook=10_02.xlsx&amp;sheet=A0&amp;row=178&amp;col=11&amp;number=6683000&amp;sourceID=46","6683000")</f>
        <v>6683000</v>
      </c>
      <c r="L178" s="4" t="str">
        <f>HYPERLINK("http://141.218.60.56/~jnz1568/getInfo.php?workbook=10_02.xlsx&amp;sheet=A0&amp;row=178&amp;col=12&amp;number=&amp;sourceID=47","")</f>
        <v/>
      </c>
    </row>
    <row r="179" spans="1:12">
      <c r="A179" s="3">
        <v>10</v>
      </c>
      <c r="B179" s="3">
        <v>2</v>
      </c>
      <c r="C179" s="3">
        <v>21</v>
      </c>
      <c r="D179" s="3">
        <v>12</v>
      </c>
      <c r="E179" s="3">
        <f>((1/(INDEX(E0!J$4:J$52,C179,1)-INDEX(E0!J$4:J$52,D179,1))))*100000000</f>
        <v>0</v>
      </c>
      <c r="F179" s="4" t="str">
        <f>HYPERLINK("http://141.218.60.56/~jnz1568/getInfo.php?workbook=10_02.xlsx&amp;sheet=A0&amp;row=179&amp;col=6&amp;number=&amp;sourceID=27","")</f>
        <v/>
      </c>
      <c r="G179" s="4" t="str">
        <f>HYPERLINK("http://141.218.60.56/~jnz1568/getInfo.php?workbook=10_02.xlsx&amp;sheet=A0&amp;row=179&amp;col=7&amp;number=&amp;sourceID=32","")</f>
        <v/>
      </c>
      <c r="H179" s="4" t="str">
        <f>HYPERLINK("http://141.218.60.56/~jnz1568/getInfo.php?workbook=10_02.xlsx&amp;sheet=A0&amp;row=179&amp;col=8&amp;number=&amp;sourceID=32","")</f>
        <v/>
      </c>
      <c r="I179" s="4" t="str">
        <f>HYPERLINK("http://141.218.60.56/~jnz1568/getInfo.php?workbook=10_02.xlsx&amp;sheet=A0&amp;row=179&amp;col=9&amp;number=&amp;sourceID=32","")</f>
        <v/>
      </c>
      <c r="J179" s="4" t="str">
        <f>HYPERLINK("http://141.218.60.56/~jnz1568/getInfo.php?workbook=10_02.xlsx&amp;sheet=A0&amp;row=179&amp;col=10&amp;number=17.47&amp;sourceID=32","17.47")</f>
        <v>17.47</v>
      </c>
      <c r="K179" s="4" t="str">
        <f>HYPERLINK("http://141.218.60.56/~jnz1568/getInfo.php?workbook=10_02.xlsx&amp;sheet=A0&amp;row=179&amp;col=11&amp;number=17.207&amp;sourceID=46","17.207")</f>
        <v>17.207</v>
      </c>
      <c r="L179" s="4" t="str">
        <f>HYPERLINK("http://141.218.60.56/~jnz1568/getInfo.php?workbook=10_02.xlsx&amp;sheet=A0&amp;row=179&amp;col=12&amp;number=&amp;sourceID=47","")</f>
        <v/>
      </c>
    </row>
    <row r="180" spans="1:12">
      <c r="A180" s="3">
        <v>10</v>
      </c>
      <c r="B180" s="3">
        <v>2</v>
      </c>
      <c r="C180" s="3">
        <v>21</v>
      </c>
      <c r="D180" s="3">
        <v>14</v>
      </c>
      <c r="E180" s="3">
        <f>((1/(INDEX(E0!J$4:J$52,C180,1)-INDEX(E0!J$4:J$52,D180,1))))*100000000</f>
        <v>0</v>
      </c>
      <c r="F180" s="4" t="str">
        <f>HYPERLINK("http://141.218.60.56/~jnz1568/getInfo.php?workbook=10_02.xlsx&amp;sheet=A0&amp;row=180&amp;col=6&amp;number=&amp;sourceID=27","")</f>
        <v/>
      </c>
      <c r="G180" s="4" t="str">
        <f>HYPERLINK("http://141.218.60.56/~jnz1568/getInfo.php?workbook=10_02.xlsx&amp;sheet=A0&amp;row=180&amp;col=7&amp;number=&amp;sourceID=32","")</f>
        <v/>
      </c>
      <c r="H180" s="4" t="str">
        <f>HYPERLINK("http://141.218.60.56/~jnz1568/getInfo.php?workbook=10_02.xlsx&amp;sheet=A0&amp;row=180&amp;col=8&amp;number=24530&amp;sourceID=32","24530")</f>
        <v>24530</v>
      </c>
      <c r="I180" s="4" t="str">
        <f>HYPERLINK("http://141.218.60.56/~jnz1568/getInfo.php?workbook=10_02.xlsx&amp;sheet=A0&amp;row=180&amp;col=9&amp;number=4.852e-05&amp;sourceID=32","4.852e-05")</f>
        <v>4.852e-05</v>
      </c>
      <c r="J180" s="4" t="str">
        <f>HYPERLINK("http://141.218.60.56/~jnz1568/getInfo.php?workbook=10_02.xlsx&amp;sheet=A0&amp;row=180&amp;col=10&amp;number=&amp;sourceID=32","")</f>
        <v/>
      </c>
      <c r="K180" s="4" t="str">
        <f>HYPERLINK("http://141.218.60.56/~jnz1568/getInfo.php?workbook=10_02.xlsx&amp;sheet=A0&amp;row=180&amp;col=11&amp;number=15711&amp;sourceID=46","15711")</f>
        <v>15711</v>
      </c>
      <c r="L180" s="4" t="str">
        <f>HYPERLINK("http://141.218.60.56/~jnz1568/getInfo.php?workbook=10_02.xlsx&amp;sheet=A0&amp;row=180&amp;col=12&amp;number=&amp;sourceID=47","")</f>
        <v/>
      </c>
    </row>
    <row r="181" spans="1:12">
      <c r="A181" s="3">
        <v>10</v>
      </c>
      <c r="B181" s="3">
        <v>2</v>
      </c>
      <c r="C181" s="3">
        <v>21</v>
      </c>
      <c r="D181" s="3">
        <v>16</v>
      </c>
      <c r="E181" s="3">
        <f>((1/(INDEX(E0!J$4:J$52,C181,1)-INDEX(E0!J$4:J$52,D181,1))))*100000000</f>
        <v>0</v>
      </c>
      <c r="F181" s="4" t="str">
        <f>HYPERLINK("http://141.218.60.56/~jnz1568/getInfo.php?workbook=10_02.xlsx&amp;sheet=A0&amp;row=181&amp;col=6&amp;number=&amp;sourceID=27","")</f>
        <v/>
      </c>
      <c r="G181" s="4" t="str">
        <f>HYPERLINK("http://141.218.60.56/~jnz1568/getInfo.php?workbook=10_02.xlsx&amp;sheet=A0&amp;row=181&amp;col=7&amp;number=&amp;sourceID=32","")</f>
        <v/>
      </c>
      <c r="H181" s="4" t="str">
        <f>HYPERLINK("http://141.218.60.56/~jnz1568/getInfo.php?workbook=10_02.xlsx&amp;sheet=A0&amp;row=181&amp;col=8&amp;number=551100&amp;sourceID=32","551100")</f>
        <v>551100</v>
      </c>
      <c r="I181" s="4" t="str">
        <f>HYPERLINK("http://141.218.60.56/~jnz1568/getInfo.php?workbook=10_02.xlsx&amp;sheet=A0&amp;row=181&amp;col=9&amp;number=0.0001613&amp;sourceID=32","0.0001613")</f>
        <v>0.0001613</v>
      </c>
      <c r="J181" s="4" t="str">
        <f>HYPERLINK("http://141.218.60.56/~jnz1568/getInfo.php?workbook=10_02.xlsx&amp;sheet=A0&amp;row=181&amp;col=10&amp;number=&amp;sourceID=32","")</f>
        <v/>
      </c>
      <c r="K181" s="4" t="str">
        <f>HYPERLINK("http://141.218.60.56/~jnz1568/getInfo.php?workbook=10_02.xlsx&amp;sheet=A0&amp;row=181&amp;col=11&amp;number=561410&amp;sourceID=46","561410")</f>
        <v>561410</v>
      </c>
      <c r="L181" s="4" t="str">
        <f>HYPERLINK("http://141.218.60.56/~jnz1568/getInfo.php?workbook=10_02.xlsx&amp;sheet=A0&amp;row=181&amp;col=12&amp;number=&amp;sourceID=47","")</f>
        <v/>
      </c>
    </row>
    <row r="182" spans="1:12">
      <c r="A182" s="3">
        <v>10</v>
      </c>
      <c r="B182" s="3">
        <v>2</v>
      </c>
      <c r="C182" s="3">
        <v>21</v>
      </c>
      <c r="D182" s="3">
        <v>17</v>
      </c>
      <c r="E182" s="3">
        <f>((1/(INDEX(E0!J$4:J$52,C182,1)-INDEX(E0!J$4:J$52,D182,1))))*100000000</f>
        <v>0</v>
      </c>
      <c r="F182" s="4" t="str">
        <f>HYPERLINK("http://141.218.60.56/~jnz1568/getInfo.php?workbook=10_02.xlsx&amp;sheet=A0&amp;row=182&amp;col=6&amp;number=&amp;sourceID=27","")</f>
        <v/>
      </c>
      <c r="G182" s="4" t="str">
        <f>HYPERLINK("http://141.218.60.56/~jnz1568/getInfo.php?workbook=10_02.xlsx&amp;sheet=A0&amp;row=182&amp;col=7&amp;number=14610000000&amp;sourceID=32","14610000000")</f>
        <v>14610000000</v>
      </c>
      <c r="H182" s="4" t="str">
        <f>HYPERLINK("http://141.218.60.56/~jnz1568/getInfo.php?workbook=10_02.xlsx&amp;sheet=A0&amp;row=182&amp;col=8&amp;number=&amp;sourceID=32","")</f>
        <v/>
      </c>
      <c r="I182" s="4" t="str">
        <f>HYPERLINK("http://141.218.60.56/~jnz1568/getInfo.php?workbook=10_02.xlsx&amp;sheet=A0&amp;row=182&amp;col=9&amp;number=&amp;sourceID=32","")</f>
        <v/>
      </c>
      <c r="J182" s="4" t="str">
        <f>HYPERLINK("http://141.218.60.56/~jnz1568/getInfo.php?workbook=10_02.xlsx&amp;sheet=A0&amp;row=182&amp;col=10&amp;number=&amp;sourceID=32","")</f>
        <v/>
      </c>
      <c r="K182" s="4" t="str">
        <f>HYPERLINK("http://141.218.60.56/~jnz1568/getInfo.php?workbook=10_02.xlsx&amp;sheet=A0&amp;row=182&amp;col=11&amp;number=15071000000&amp;sourceID=46","15071000000")</f>
        <v>15071000000</v>
      </c>
      <c r="L182" s="4" t="str">
        <f>HYPERLINK("http://141.218.60.56/~jnz1568/getInfo.php?workbook=10_02.xlsx&amp;sheet=A0&amp;row=182&amp;col=12&amp;number=&amp;sourceID=47","")</f>
        <v/>
      </c>
    </row>
    <row r="183" spans="1:12">
      <c r="A183" s="3">
        <v>10</v>
      </c>
      <c r="B183" s="3">
        <v>2</v>
      </c>
      <c r="C183" s="3">
        <v>21</v>
      </c>
      <c r="D183" s="3">
        <v>20</v>
      </c>
      <c r="E183" s="3">
        <f>((1/(INDEX(E0!J$4:J$52,C183,1)-INDEX(E0!J$4:J$52,D183,1))))*100000000</f>
        <v>0</v>
      </c>
      <c r="F183" s="4" t="str">
        <f>HYPERLINK("http://141.218.60.56/~jnz1568/getInfo.php?workbook=10_02.xlsx&amp;sheet=A0&amp;row=183&amp;col=6&amp;number=&amp;sourceID=27","")</f>
        <v/>
      </c>
      <c r="G183" s="4" t="str">
        <f>HYPERLINK("http://141.218.60.56/~jnz1568/getInfo.php?workbook=10_02.xlsx&amp;sheet=A0&amp;row=183&amp;col=7&amp;number=&amp;sourceID=32","")</f>
        <v/>
      </c>
      <c r="H183" s="4" t="str">
        <f>HYPERLINK("http://141.218.60.56/~jnz1568/getInfo.php?workbook=10_02.xlsx&amp;sheet=A0&amp;row=183&amp;col=8&amp;number=&amp;sourceID=32","")</f>
        <v/>
      </c>
      <c r="I183" s="4" t="str">
        <f>HYPERLINK("http://141.218.60.56/~jnz1568/getInfo.php?workbook=10_02.xlsx&amp;sheet=A0&amp;row=183&amp;col=9&amp;number=&amp;sourceID=32","")</f>
        <v/>
      </c>
      <c r="J183" s="4" t="str">
        <f>HYPERLINK("http://141.218.60.56/~jnz1568/getInfo.php?workbook=10_02.xlsx&amp;sheet=A0&amp;row=183&amp;col=10&amp;number=&amp;sourceID=32","")</f>
        <v/>
      </c>
      <c r="K183" s="4" t="str">
        <f>HYPERLINK("http://141.218.60.56/~jnz1568/getInfo.php?workbook=10_02.xlsx&amp;sheet=A0&amp;row=183&amp;col=11&amp;number=1.1068&amp;sourceID=46","1.1068")</f>
        <v>1.1068</v>
      </c>
      <c r="L183" s="4" t="str">
        <f>HYPERLINK("http://141.218.60.56/~jnz1568/getInfo.php?workbook=10_02.xlsx&amp;sheet=A0&amp;row=183&amp;col=12&amp;number=&amp;sourceID=47","")</f>
        <v/>
      </c>
    </row>
    <row r="184" spans="1:12">
      <c r="A184" s="3">
        <v>10</v>
      </c>
      <c r="B184" s="3">
        <v>2</v>
      </c>
      <c r="C184" s="3">
        <v>22</v>
      </c>
      <c r="D184" s="3">
        <v>1</v>
      </c>
      <c r="E184" s="3">
        <f>((1/(INDEX(E0!J$4:J$52,C184,1)-INDEX(E0!J$4:J$52,D184,1))))*100000000</f>
        <v>0</v>
      </c>
      <c r="F184" s="4" t="str">
        <f>HYPERLINK("http://141.218.60.56/~jnz1568/getInfo.php?workbook=10_02.xlsx&amp;sheet=A0&amp;row=184&amp;col=6&amp;number=&amp;sourceID=27","")</f>
        <v/>
      </c>
      <c r="G184" s="4" t="str">
        <f>HYPERLINK("http://141.218.60.56/~jnz1568/getInfo.php?workbook=10_02.xlsx&amp;sheet=A0&amp;row=184&amp;col=7&amp;number=&amp;sourceID=32","")</f>
        <v/>
      </c>
      <c r="H184" s="4" t="str">
        <f>HYPERLINK("http://141.218.60.56/~jnz1568/getInfo.php?workbook=10_02.xlsx&amp;sheet=A0&amp;row=184&amp;col=8&amp;number=&amp;sourceID=32","")</f>
        <v/>
      </c>
      <c r="I184" s="4" t="str">
        <f>HYPERLINK("http://141.218.60.56/~jnz1568/getInfo.php?workbook=10_02.xlsx&amp;sheet=A0&amp;row=184&amp;col=9&amp;number=&amp;sourceID=32","")</f>
        <v/>
      </c>
      <c r="J184" s="4" t="str">
        <f>HYPERLINK("http://141.218.60.56/~jnz1568/getInfo.php?workbook=10_02.xlsx&amp;sheet=A0&amp;row=184&amp;col=10&amp;number=372000&amp;sourceID=32","372000")</f>
        <v>372000</v>
      </c>
      <c r="K184" s="4" t="str">
        <f>HYPERLINK("http://141.218.60.56/~jnz1568/getInfo.php?workbook=10_02.xlsx&amp;sheet=A0&amp;row=184&amp;col=11&amp;number=356190&amp;sourceID=46","356190")</f>
        <v>356190</v>
      </c>
      <c r="L184" s="4" t="str">
        <f>HYPERLINK("http://141.218.60.56/~jnz1568/getInfo.php?workbook=10_02.xlsx&amp;sheet=A0&amp;row=184&amp;col=12&amp;number=&amp;sourceID=47","")</f>
        <v/>
      </c>
    </row>
    <row r="185" spans="1:12">
      <c r="A185" s="3">
        <v>10</v>
      </c>
      <c r="B185" s="3">
        <v>2</v>
      </c>
      <c r="C185" s="3">
        <v>22</v>
      </c>
      <c r="D185" s="3">
        <v>2</v>
      </c>
      <c r="E185" s="3">
        <f>((1/(INDEX(E0!J$4:J$52,C185,1)-INDEX(E0!J$4:J$52,D185,1))))*100000000</f>
        <v>0</v>
      </c>
      <c r="F185" s="4" t="str">
        <f>HYPERLINK("http://141.218.60.56/~jnz1568/getInfo.php?workbook=10_02.xlsx&amp;sheet=A0&amp;row=185&amp;col=6&amp;number=&amp;sourceID=27","")</f>
        <v/>
      </c>
      <c r="G185" s="4" t="str">
        <f>HYPERLINK("http://141.218.60.56/~jnz1568/getInfo.php?workbook=10_02.xlsx&amp;sheet=A0&amp;row=185&amp;col=7&amp;number=64880000000&amp;sourceID=32","64880000000")</f>
        <v>64880000000</v>
      </c>
      <c r="H185" s="4" t="str">
        <f>HYPERLINK("http://141.218.60.56/~jnz1568/getInfo.php?workbook=10_02.xlsx&amp;sheet=A0&amp;row=185&amp;col=8&amp;number=&amp;sourceID=32","")</f>
        <v/>
      </c>
      <c r="I185" s="4" t="str">
        <f>HYPERLINK("http://141.218.60.56/~jnz1568/getInfo.php?workbook=10_02.xlsx&amp;sheet=A0&amp;row=185&amp;col=9&amp;number=&amp;sourceID=32","")</f>
        <v/>
      </c>
      <c r="J185" s="4" t="str">
        <f>HYPERLINK("http://141.218.60.56/~jnz1568/getInfo.php?workbook=10_02.xlsx&amp;sheet=A0&amp;row=185&amp;col=10&amp;number=1368&amp;sourceID=32","1368")</f>
        <v>1368</v>
      </c>
      <c r="K185" s="4" t="str">
        <f>HYPERLINK("http://141.218.60.56/~jnz1568/getInfo.php?workbook=10_02.xlsx&amp;sheet=A0&amp;row=185&amp;col=11&amp;number=62742000000&amp;sourceID=46","62742000000")</f>
        <v>62742000000</v>
      </c>
      <c r="L185" s="4" t="str">
        <f>HYPERLINK("http://141.218.60.56/~jnz1568/getInfo.php?workbook=10_02.xlsx&amp;sheet=A0&amp;row=185&amp;col=12&amp;number=&amp;sourceID=47","")</f>
        <v/>
      </c>
    </row>
    <row r="186" spans="1:12">
      <c r="A186" s="3">
        <v>10</v>
      </c>
      <c r="B186" s="3">
        <v>2</v>
      </c>
      <c r="C186" s="3">
        <v>22</v>
      </c>
      <c r="D186" s="3">
        <v>3</v>
      </c>
      <c r="E186" s="3">
        <f>((1/(INDEX(E0!J$4:J$52,C186,1)-INDEX(E0!J$4:J$52,D186,1))))*100000000</f>
        <v>0</v>
      </c>
      <c r="F186" s="4" t="str">
        <f>HYPERLINK("http://141.218.60.56/~jnz1568/getInfo.php?workbook=10_02.xlsx&amp;sheet=A0&amp;row=186&amp;col=6&amp;number=&amp;sourceID=27","")</f>
        <v/>
      </c>
      <c r="G186" s="4" t="str">
        <f>HYPERLINK("http://141.218.60.56/~jnz1568/getInfo.php?workbook=10_02.xlsx&amp;sheet=A0&amp;row=186&amp;col=7&amp;number=&amp;sourceID=32","")</f>
        <v/>
      </c>
      <c r="H186" s="4" t="str">
        <f>HYPERLINK("http://141.218.60.56/~jnz1568/getInfo.php?workbook=10_02.xlsx&amp;sheet=A0&amp;row=186&amp;col=8&amp;number=1146000&amp;sourceID=32","1146000")</f>
        <v>1146000</v>
      </c>
      <c r="I186" s="4" t="str">
        <f>HYPERLINK("http://141.218.60.56/~jnz1568/getInfo.php?workbook=10_02.xlsx&amp;sheet=A0&amp;row=186&amp;col=9&amp;number=&amp;sourceID=32","")</f>
        <v/>
      </c>
      <c r="J186" s="4" t="str">
        <f>HYPERLINK("http://141.218.60.56/~jnz1568/getInfo.php?workbook=10_02.xlsx&amp;sheet=A0&amp;row=186&amp;col=10&amp;number=&amp;sourceID=32","")</f>
        <v/>
      </c>
      <c r="K186" s="4" t="str">
        <f>HYPERLINK("http://141.218.60.56/~jnz1568/getInfo.php?workbook=10_02.xlsx&amp;sheet=A0&amp;row=186&amp;col=11&amp;number=1113800&amp;sourceID=46","1113800")</f>
        <v>1113800</v>
      </c>
      <c r="L186" s="4" t="str">
        <f>HYPERLINK("http://141.218.60.56/~jnz1568/getInfo.php?workbook=10_02.xlsx&amp;sheet=A0&amp;row=186&amp;col=12&amp;number=&amp;sourceID=47","")</f>
        <v/>
      </c>
    </row>
    <row r="187" spans="1:12">
      <c r="A187" s="3">
        <v>10</v>
      </c>
      <c r="B187" s="3">
        <v>2</v>
      </c>
      <c r="C187" s="3">
        <v>22</v>
      </c>
      <c r="D187" s="3">
        <v>4</v>
      </c>
      <c r="E187" s="3">
        <f>((1/(INDEX(E0!J$4:J$52,C187,1)-INDEX(E0!J$4:J$52,D187,1))))*100000000</f>
        <v>0</v>
      </c>
      <c r="F187" s="4" t="str">
        <f>HYPERLINK("http://141.218.60.56/~jnz1568/getInfo.php?workbook=10_02.xlsx&amp;sheet=A0&amp;row=187&amp;col=6&amp;number=&amp;sourceID=27","")</f>
        <v/>
      </c>
      <c r="G187" s="4" t="str">
        <f>HYPERLINK("http://141.218.60.56/~jnz1568/getInfo.php?workbook=10_02.xlsx&amp;sheet=A0&amp;row=187&amp;col=7&amp;number=&amp;sourceID=32","")</f>
        <v/>
      </c>
      <c r="H187" s="4" t="str">
        <f>HYPERLINK("http://141.218.60.56/~jnz1568/getInfo.php?workbook=10_02.xlsx&amp;sheet=A0&amp;row=187&amp;col=8&amp;number=2578000&amp;sourceID=32","2578000")</f>
        <v>2578000</v>
      </c>
      <c r="I187" s="4" t="str">
        <f>HYPERLINK("http://141.218.60.56/~jnz1568/getInfo.php?workbook=10_02.xlsx&amp;sheet=A0&amp;row=187&amp;col=9&amp;number=6.556&amp;sourceID=32","6.556")</f>
        <v>6.556</v>
      </c>
      <c r="J187" s="4" t="str">
        <f>HYPERLINK("http://141.218.60.56/~jnz1568/getInfo.php?workbook=10_02.xlsx&amp;sheet=A0&amp;row=187&amp;col=10&amp;number=&amp;sourceID=32","")</f>
        <v/>
      </c>
      <c r="K187" s="4" t="str">
        <f>HYPERLINK("http://141.218.60.56/~jnz1568/getInfo.php?workbook=10_02.xlsx&amp;sheet=A0&amp;row=187&amp;col=11&amp;number=2480600&amp;sourceID=46","2480600")</f>
        <v>2480600</v>
      </c>
      <c r="L187" s="4" t="str">
        <f>HYPERLINK("http://141.218.60.56/~jnz1568/getInfo.php?workbook=10_02.xlsx&amp;sheet=A0&amp;row=187&amp;col=12&amp;number=&amp;sourceID=47","")</f>
        <v/>
      </c>
    </row>
    <row r="188" spans="1:12">
      <c r="A188" s="3">
        <v>10</v>
      </c>
      <c r="B188" s="3">
        <v>2</v>
      </c>
      <c r="C188" s="3">
        <v>22</v>
      </c>
      <c r="D188" s="3">
        <v>5</v>
      </c>
      <c r="E188" s="3">
        <f>((1/(INDEX(E0!J$4:J$52,C188,1)-INDEX(E0!J$4:J$52,D188,1))))*100000000</f>
        <v>0</v>
      </c>
      <c r="F188" s="4" t="str">
        <f>HYPERLINK("http://141.218.60.56/~jnz1568/getInfo.php?workbook=10_02.xlsx&amp;sheet=A0&amp;row=188&amp;col=6&amp;number=&amp;sourceID=27","")</f>
        <v/>
      </c>
      <c r="G188" s="4" t="str">
        <f>HYPERLINK("http://141.218.60.56/~jnz1568/getInfo.php?workbook=10_02.xlsx&amp;sheet=A0&amp;row=188&amp;col=7&amp;number=&amp;sourceID=32","")</f>
        <v/>
      </c>
      <c r="H188" s="4" t="str">
        <f>HYPERLINK("http://141.218.60.56/~jnz1568/getInfo.php?workbook=10_02.xlsx&amp;sheet=A0&amp;row=188&amp;col=8&amp;number=2001000&amp;sourceID=32","2001000")</f>
        <v>2001000</v>
      </c>
      <c r="I188" s="4" t="str">
        <f>HYPERLINK("http://141.218.60.56/~jnz1568/getInfo.php?workbook=10_02.xlsx&amp;sheet=A0&amp;row=188&amp;col=9&amp;number=9.577&amp;sourceID=32","9.577")</f>
        <v>9.577</v>
      </c>
      <c r="J188" s="4" t="str">
        <f>HYPERLINK("http://141.218.60.56/~jnz1568/getInfo.php?workbook=10_02.xlsx&amp;sheet=A0&amp;row=188&amp;col=10&amp;number=&amp;sourceID=32","")</f>
        <v/>
      </c>
      <c r="K188" s="4" t="str">
        <f>HYPERLINK("http://141.218.60.56/~jnz1568/getInfo.php?workbook=10_02.xlsx&amp;sheet=A0&amp;row=188&amp;col=11&amp;number=1889200&amp;sourceID=46","1889200")</f>
        <v>1889200</v>
      </c>
      <c r="L188" s="4" t="str">
        <f>HYPERLINK("http://141.218.60.56/~jnz1568/getInfo.php?workbook=10_02.xlsx&amp;sheet=A0&amp;row=188&amp;col=12&amp;number=&amp;sourceID=47","")</f>
        <v/>
      </c>
    </row>
    <row r="189" spans="1:12">
      <c r="A189" s="3">
        <v>10</v>
      </c>
      <c r="B189" s="3">
        <v>2</v>
      </c>
      <c r="C189" s="3">
        <v>22</v>
      </c>
      <c r="D189" s="3">
        <v>6</v>
      </c>
      <c r="E189" s="3">
        <f>((1/(INDEX(E0!J$4:J$52,C189,1)-INDEX(E0!J$4:J$52,D189,1))))*100000000</f>
        <v>0</v>
      </c>
      <c r="F189" s="4" t="str">
        <f>HYPERLINK("http://141.218.60.56/~jnz1568/getInfo.php?workbook=10_02.xlsx&amp;sheet=A0&amp;row=189&amp;col=6&amp;number=&amp;sourceID=27","")</f>
        <v/>
      </c>
      <c r="G189" s="4" t="str">
        <f>HYPERLINK("http://141.218.60.56/~jnz1568/getInfo.php?workbook=10_02.xlsx&amp;sheet=A0&amp;row=189&amp;col=7&amp;number=&amp;sourceID=32","")</f>
        <v/>
      </c>
      <c r="H189" s="4" t="str">
        <f>HYPERLINK("http://141.218.60.56/~jnz1568/getInfo.php?workbook=10_02.xlsx&amp;sheet=A0&amp;row=189&amp;col=8&amp;number=&amp;sourceID=32","")</f>
        <v/>
      </c>
      <c r="I189" s="4" t="str">
        <f>HYPERLINK("http://141.218.60.56/~jnz1568/getInfo.php?workbook=10_02.xlsx&amp;sheet=A0&amp;row=189&amp;col=9&amp;number=&amp;sourceID=32","")</f>
        <v/>
      </c>
      <c r="J189" s="4" t="str">
        <f>HYPERLINK("http://141.218.60.56/~jnz1568/getInfo.php?workbook=10_02.xlsx&amp;sheet=A0&amp;row=189&amp;col=10&amp;number=839.2&amp;sourceID=32","839.2")</f>
        <v>839.2</v>
      </c>
      <c r="K189" s="4" t="str">
        <f>HYPERLINK("http://141.218.60.56/~jnz1568/getInfo.php?workbook=10_02.xlsx&amp;sheet=A0&amp;row=189&amp;col=11&amp;number=841.03&amp;sourceID=46","841.03")</f>
        <v>841.03</v>
      </c>
      <c r="L189" s="4" t="str">
        <f>HYPERLINK("http://141.218.60.56/~jnz1568/getInfo.php?workbook=10_02.xlsx&amp;sheet=A0&amp;row=189&amp;col=12&amp;number=&amp;sourceID=47","")</f>
        <v/>
      </c>
    </row>
    <row r="190" spans="1:12">
      <c r="A190" s="3">
        <v>10</v>
      </c>
      <c r="B190" s="3">
        <v>2</v>
      </c>
      <c r="C190" s="3">
        <v>22</v>
      </c>
      <c r="D190" s="3">
        <v>7</v>
      </c>
      <c r="E190" s="3">
        <f>((1/(INDEX(E0!J$4:J$52,C190,1)-INDEX(E0!J$4:J$52,D190,1))))*100000000</f>
        <v>0</v>
      </c>
      <c r="F190" s="4" t="str">
        <f>HYPERLINK("http://141.218.60.56/~jnz1568/getInfo.php?workbook=10_02.xlsx&amp;sheet=A0&amp;row=190&amp;col=6&amp;number=&amp;sourceID=27","")</f>
        <v/>
      </c>
      <c r="G190" s="4" t="str">
        <f>HYPERLINK("http://141.218.60.56/~jnz1568/getInfo.php?workbook=10_02.xlsx&amp;sheet=A0&amp;row=190&amp;col=7&amp;number=&amp;sourceID=32","")</f>
        <v/>
      </c>
      <c r="H190" s="4" t="str">
        <f>HYPERLINK("http://141.218.60.56/~jnz1568/getInfo.php?workbook=10_02.xlsx&amp;sheet=A0&amp;row=190&amp;col=8&amp;number=1339&amp;sourceID=32","1339")</f>
        <v>1339</v>
      </c>
      <c r="I190" s="4" t="str">
        <f>HYPERLINK("http://141.218.60.56/~jnz1568/getInfo.php?workbook=10_02.xlsx&amp;sheet=A0&amp;row=190&amp;col=9&amp;number=0.5231&amp;sourceID=32","0.5231")</f>
        <v>0.5231</v>
      </c>
      <c r="J190" s="4" t="str">
        <f>HYPERLINK("http://141.218.60.56/~jnz1568/getInfo.php?workbook=10_02.xlsx&amp;sheet=A0&amp;row=190&amp;col=10&amp;number=&amp;sourceID=32","")</f>
        <v/>
      </c>
      <c r="K190" s="4" t="str">
        <f>HYPERLINK("http://141.218.60.56/~jnz1568/getInfo.php?workbook=10_02.xlsx&amp;sheet=A0&amp;row=190&amp;col=11&amp;number=503.08&amp;sourceID=46","503.08")</f>
        <v>503.08</v>
      </c>
      <c r="L190" s="4" t="str">
        <f>HYPERLINK("http://141.218.60.56/~jnz1568/getInfo.php?workbook=10_02.xlsx&amp;sheet=A0&amp;row=190&amp;col=12&amp;number=&amp;sourceID=47","")</f>
        <v/>
      </c>
    </row>
    <row r="191" spans="1:12">
      <c r="A191" s="3">
        <v>10</v>
      </c>
      <c r="B191" s="3">
        <v>2</v>
      </c>
      <c r="C191" s="3">
        <v>22</v>
      </c>
      <c r="D191" s="3">
        <v>8</v>
      </c>
      <c r="E191" s="3">
        <f>((1/(INDEX(E0!J$4:J$52,C191,1)-INDEX(E0!J$4:J$52,D191,1))))*100000000</f>
        <v>0</v>
      </c>
      <c r="F191" s="4" t="str">
        <f>HYPERLINK("http://141.218.60.56/~jnz1568/getInfo.php?workbook=10_02.xlsx&amp;sheet=A0&amp;row=191&amp;col=6&amp;number=&amp;sourceID=27","")</f>
        <v/>
      </c>
      <c r="G191" s="4" t="str">
        <f>HYPERLINK("http://141.218.60.56/~jnz1568/getInfo.php?workbook=10_02.xlsx&amp;sheet=A0&amp;row=191&amp;col=7&amp;number=18770000000&amp;sourceID=32","18770000000")</f>
        <v>18770000000</v>
      </c>
      <c r="H191" s="4" t="str">
        <f>HYPERLINK("http://141.218.60.56/~jnz1568/getInfo.php?workbook=10_02.xlsx&amp;sheet=A0&amp;row=191&amp;col=8&amp;number=&amp;sourceID=32","")</f>
        <v/>
      </c>
      <c r="I191" s="4" t="str">
        <f>HYPERLINK("http://141.218.60.56/~jnz1568/getInfo.php?workbook=10_02.xlsx&amp;sheet=A0&amp;row=191&amp;col=9&amp;number=&amp;sourceID=32","")</f>
        <v/>
      </c>
      <c r="J191" s="4" t="str">
        <f>HYPERLINK("http://141.218.60.56/~jnz1568/getInfo.php?workbook=10_02.xlsx&amp;sheet=A0&amp;row=191&amp;col=10&amp;number=26.45&amp;sourceID=32","26.45")</f>
        <v>26.45</v>
      </c>
      <c r="K191" s="4" t="str">
        <f>HYPERLINK("http://141.218.60.56/~jnz1568/getInfo.php?workbook=10_02.xlsx&amp;sheet=A0&amp;row=191&amp;col=11&amp;number=18573000000&amp;sourceID=46","18573000000")</f>
        <v>18573000000</v>
      </c>
      <c r="L191" s="4" t="str">
        <f>HYPERLINK("http://141.218.60.56/~jnz1568/getInfo.php?workbook=10_02.xlsx&amp;sheet=A0&amp;row=191&amp;col=12&amp;number=&amp;sourceID=47","")</f>
        <v/>
      </c>
    </row>
    <row r="192" spans="1:12">
      <c r="A192" s="3">
        <v>10</v>
      </c>
      <c r="B192" s="3">
        <v>2</v>
      </c>
      <c r="C192" s="3">
        <v>22</v>
      </c>
      <c r="D192" s="3">
        <v>9</v>
      </c>
      <c r="E192" s="3">
        <f>((1/(INDEX(E0!J$4:J$52,C192,1)-INDEX(E0!J$4:J$52,D192,1))))*100000000</f>
        <v>0</v>
      </c>
      <c r="F192" s="4" t="str">
        <f>HYPERLINK("http://141.218.60.56/~jnz1568/getInfo.php?workbook=10_02.xlsx&amp;sheet=A0&amp;row=192&amp;col=6&amp;number=&amp;sourceID=27","")</f>
        <v/>
      </c>
      <c r="G192" s="4" t="str">
        <f>HYPERLINK("http://141.218.60.56/~jnz1568/getInfo.php?workbook=10_02.xlsx&amp;sheet=A0&amp;row=192&amp;col=7&amp;number=&amp;sourceID=32","")</f>
        <v/>
      </c>
      <c r="H192" s="4" t="str">
        <f>HYPERLINK("http://141.218.60.56/~jnz1568/getInfo.php?workbook=10_02.xlsx&amp;sheet=A0&amp;row=192&amp;col=8&amp;number=281500&amp;sourceID=32","281500")</f>
        <v>281500</v>
      </c>
      <c r="I192" s="4" t="str">
        <f>HYPERLINK("http://141.218.60.56/~jnz1568/getInfo.php?workbook=10_02.xlsx&amp;sheet=A0&amp;row=192&amp;col=9&amp;number=&amp;sourceID=32","")</f>
        <v/>
      </c>
      <c r="J192" s="4" t="str">
        <f>HYPERLINK("http://141.218.60.56/~jnz1568/getInfo.php?workbook=10_02.xlsx&amp;sheet=A0&amp;row=192&amp;col=10&amp;number=&amp;sourceID=32","")</f>
        <v/>
      </c>
      <c r="K192" s="4" t="str">
        <f>HYPERLINK("http://141.218.60.56/~jnz1568/getInfo.php?workbook=10_02.xlsx&amp;sheet=A0&amp;row=192&amp;col=11&amp;number=280900&amp;sourceID=46","280900")</f>
        <v>280900</v>
      </c>
      <c r="L192" s="4" t="str">
        <f>HYPERLINK("http://141.218.60.56/~jnz1568/getInfo.php?workbook=10_02.xlsx&amp;sheet=A0&amp;row=192&amp;col=12&amp;number=&amp;sourceID=47","")</f>
        <v/>
      </c>
    </row>
    <row r="193" spans="1:12">
      <c r="A193" s="3">
        <v>10</v>
      </c>
      <c r="B193" s="3">
        <v>2</v>
      </c>
      <c r="C193" s="3">
        <v>22</v>
      </c>
      <c r="D193" s="3">
        <v>10</v>
      </c>
      <c r="E193" s="3">
        <f>((1/(INDEX(E0!J$4:J$52,C193,1)-INDEX(E0!J$4:J$52,D193,1))))*100000000</f>
        <v>0</v>
      </c>
      <c r="F193" s="4" t="str">
        <f>HYPERLINK("http://141.218.60.56/~jnz1568/getInfo.php?workbook=10_02.xlsx&amp;sheet=A0&amp;row=193&amp;col=6&amp;number=&amp;sourceID=27","")</f>
        <v/>
      </c>
      <c r="G193" s="4" t="str">
        <f>HYPERLINK("http://141.218.60.56/~jnz1568/getInfo.php?workbook=10_02.xlsx&amp;sheet=A0&amp;row=193&amp;col=7&amp;number=&amp;sourceID=32","")</f>
        <v/>
      </c>
      <c r="H193" s="4" t="str">
        <f>HYPERLINK("http://141.218.60.56/~jnz1568/getInfo.php?workbook=10_02.xlsx&amp;sheet=A0&amp;row=193&amp;col=8&amp;number=632600&amp;sourceID=32","632600")</f>
        <v>632600</v>
      </c>
      <c r="I193" s="4" t="str">
        <f>HYPERLINK("http://141.218.60.56/~jnz1568/getInfo.php?workbook=10_02.xlsx&amp;sheet=A0&amp;row=193&amp;col=9&amp;number=0.5229&amp;sourceID=32","0.5229")</f>
        <v>0.5229</v>
      </c>
      <c r="J193" s="4" t="str">
        <f>HYPERLINK("http://141.218.60.56/~jnz1568/getInfo.php?workbook=10_02.xlsx&amp;sheet=A0&amp;row=193&amp;col=10&amp;number=&amp;sourceID=32","")</f>
        <v/>
      </c>
      <c r="K193" s="4" t="str">
        <f>HYPERLINK("http://141.218.60.56/~jnz1568/getInfo.php?workbook=10_02.xlsx&amp;sheet=A0&amp;row=193&amp;col=11&amp;number=630960&amp;sourceID=46","630960")</f>
        <v>630960</v>
      </c>
      <c r="L193" s="4" t="str">
        <f>HYPERLINK("http://141.218.60.56/~jnz1568/getInfo.php?workbook=10_02.xlsx&amp;sheet=A0&amp;row=193&amp;col=12&amp;number=&amp;sourceID=47","")</f>
        <v/>
      </c>
    </row>
    <row r="194" spans="1:12">
      <c r="A194" s="3">
        <v>10</v>
      </c>
      <c r="B194" s="3">
        <v>2</v>
      </c>
      <c r="C194" s="3">
        <v>22</v>
      </c>
      <c r="D194" s="3">
        <v>11</v>
      </c>
      <c r="E194" s="3">
        <f>((1/(INDEX(E0!J$4:J$52,C194,1)-INDEX(E0!J$4:J$52,D194,1))))*100000000</f>
        <v>0</v>
      </c>
      <c r="F194" s="4" t="str">
        <f>HYPERLINK("http://141.218.60.56/~jnz1568/getInfo.php?workbook=10_02.xlsx&amp;sheet=A0&amp;row=194&amp;col=6&amp;number=&amp;sourceID=27","")</f>
        <v/>
      </c>
      <c r="G194" s="4" t="str">
        <f>HYPERLINK("http://141.218.60.56/~jnz1568/getInfo.php?workbook=10_02.xlsx&amp;sheet=A0&amp;row=194&amp;col=7&amp;number=&amp;sourceID=32","")</f>
        <v/>
      </c>
      <c r="H194" s="4" t="str">
        <f>HYPERLINK("http://141.218.60.56/~jnz1568/getInfo.php?workbook=10_02.xlsx&amp;sheet=A0&amp;row=194&amp;col=8&amp;number=&amp;sourceID=32","")</f>
        <v/>
      </c>
      <c r="I194" s="4" t="str">
        <f>HYPERLINK("http://141.218.60.56/~jnz1568/getInfo.php?workbook=10_02.xlsx&amp;sheet=A0&amp;row=194&amp;col=9&amp;number=&amp;sourceID=32","")</f>
        <v/>
      </c>
      <c r="J194" s="4" t="str">
        <f>HYPERLINK("http://141.218.60.56/~jnz1568/getInfo.php?workbook=10_02.xlsx&amp;sheet=A0&amp;row=194&amp;col=10&amp;number=17.66&amp;sourceID=32","17.66")</f>
        <v>17.66</v>
      </c>
      <c r="K194" s="4" t="str">
        <f>HYPERLINK("http://141.218.60.56/~jnz1568/getInfo.php?workbook=10_02.xlsx&amp;sheet=A0&amp;row=194&amp;col=11&amp;number=17.684&amp;sourceID=46","17.684")</f>
        <v>17.684</v>
      </c>
      <c r="L194" s="4" t="str">
        <f>HYPERLINK("http://141.218.60.56/~jnz1568/getInfo.php?workbook=10_02.xlsx&amp;sheet=A0&amp;row=194&amp;col=12&amp;number=&amp;sourceID=47","")</f>
        <v/>
      </c>
    </row>
    <row r="195" spans="1:12">
      <c r="A195" s="3">
        <v>10</v>
      </c>
      <c r="B195" s="3">
        <v>2</v>
      </c>
      <c r="C195" s="3">
        <v>22</v>
      </c>
      <c r="D195" s="3">
        <v>12</v>
      </c>
      <c r="E195" s="3">
        <f>((1/(INDEX(E0!J$4:J$52,C195,1)-INDEX(E0!J$4:J$52,D195,1))))*100000000</f>
        <v>0</v>
      </c>
      <c r="F195" s="4" t="str">
        <f>HYPERLINK("http://141.218.60.56/~jnz1568/getInfo.php?workbook=10_02.xlsx&amp;sheet=A0&amp;row=195&amp;col=6&amp;number=&amp;sourceID=27","")</f>
        <v/>
      </c>
      <c r="G195" s="4" t="str">
        <f>HYPERLINK("http://141.218.60.56/~jnz1568/getInfo.php?workbook=10_02.xlsx&amp;sheet=A0&amp;row=195&amp;col=7&amp;number=&amp;sourceID=32","")</f>
        <v/>
      </c>
      <c r="H195" s="4" t="str">
        <f>HYPERLINK("http://141.218.60.56/~jnz1568/getInfo.php?workbook=10_02.xlsx&amp;sheet=A0&amp;row=195&amp;col=8&amp;number=492000&amp;sourceID=32","492000")</f>
        <v>492000</v>
      </c>
      <c r="I195" s="4" t="str">
        <f>HYPERLINK("http://141.218.60.56/~jnz1568/getInfo.php?workbook=10_02.xlsx&amp;sheet=A0&amp;row=195&amp;col=9&amp;number=0.1513&amp;sourceID=32","0.1513")</f>
        <v>0.1513</v>
      </c>
      <c r="J195" s="4" t="str">
        <f>HYPERLINK("http://141.218.60.56/~jnz1568/getInfo.php?workbook=10_02.xlsx&amp;sheet=A0&amp;row=195&amp;col=10&amp;number=&amp;sourceID=32","")</f>
        <v/>
      </c>
      <c r="K195" s="4" t="str">
        <f>HYPERLINK("http://141.218.60.56/~jnz1568/getInfo.php?workbook=10_02.xlsx&amp;sheet=A0&amp;row=195&amp;col=11&amp;number=489920&amp;sourceID=46","489920")</f>
        <v>489920</v>
      </c>
      <c r="L195" s="4" t="str">
        <f>HYPERLINK("http://141.218.60.56/~jnz1568/getInfo.php?workbook=10_02.xlsx&amp;sheet=A0&amp;row=195&amp;col=12&amp;number=&amp;sourceID=47","")</f>
        <v/>
      </c>
    </row>
    <row r="196" spans="1:12">
      <c r="A196" s="3">
        <v>10</v>
      </c>
      <c r="B196" s="3">
        <v>2</v>
      </c>
      <c r="C196" s="3">
        <v>22</v>
      </c>
      <c r="D196" s="3">
        <v>13</v>
      </c>
      <c r="E196" s="3">
        <f>((1/(INDEX(E0!J$4:J$52,C196,1)-INDEX(E0!J$4:J$52,D196,1))))*100000000</f>
        <v>0</v>
      </c>
      <c r="F196" s="4" t="str">
        <f>HYPERLINK("http://141.218.60.56/~jnz1568/getInfo.php?workbook=10_02.xlsx&amp;sheet=A0&amp;row=196&amp;col=6&amp;number=&amp;sourceID=27","")</f>
        <v/>
      </c>
      <c r="G196" s="4" t="str">
        <f>HYPERLINK("http://141.218.60.56/~jnz1568/getInfo.php?workbook=10_02.xlsx&amp;sheet=A0&amp;row=196&amp;col=7&amp;number=27330000&amp;sourceID=32","27330000")</f>
        <v>27330000</v>
      </c>
      <c r="H196" s="4" t="str">
        <f>HYPERLINK("http://141.218.60.56/~jnz1568/getInfo.php?workbook=10_02.xlsx&amp;sheet=A0&amp;row=196&amp;col=8&amp;number=&amp;sourceID=32","")</f>
        <v/>
      </c>
      <c r="I196" s="4" t="str">
        <f>HYPERLINK("http://141.218.60.56/~jnz1568/getInfo.php?workbook=10_02.xlsx&amp;sheet=A0&amp;row=196&amp;col=9&amp;number=&amp;sourceID=32","")</f>
        <v/>
      </c>
      <c r="J196" s="4" t="str">
        <f>HYPERLINK("http://141.218.60.56/~jnz1568/getInfo.php?workbook=10_02.xlsx&amp;sheet=A0&amp;row=196&amp;col=10&amp;number=1.153e-06&amp;sourceID=32","1.153e-06")</f>
        <v>1.153e-06</v>
      </c>
      <c r="K196" s="4" t="str">
        <f>HYPERLINK("http://141.218.60.56/~jnz1568/getInfo.php?workbook=10_02.xlsx&amp;sheet=A0&amp;row=196&amp;col=11&amp;number=27329000&amp;sourceID=46","27329000")</f>
        <v>27329000</v>
      </c>
      <c r="L196" s="4" t="str">
        <f>HYPERLINK("http://141.218.60.56/~jnz1568/getInfo.php?workbook=10_02.xlsx&amp;sheet=A0&amp;row=196&amp;col=12&amp;number=&amp;sourceID=47","")</f>
        <v/>
      </c>
    </row>
    <row r="197" spans="1:12">
      <c r="A197" s="3">
        <v>10</v>
      </c>
      <c r="B197" s="3">
        <v>2</v>
      </c>
      <c r="C197" s="3">
        <v>22</v>
      </c>
      <c r="D197" s="3">
        <v>14</v>
      </c>
      <c r="E197" s="3">
        <f>((1/(INDEX(E0!J$4:J$52,C197,1)-INDEX(E0!J$4:J$52,D197,1))))*100000000</f>
        <v>0</v>
      </c>
      <c r="F197" s="4" t="str">
        <f>HYPERLINK("http://141.218.60.56/~jnz1568/getInfo.php?workbook=10_02.xlsx&amp;sheet=A0&amp;row=197&amp;col=6&amp;number=&amp;sourceID=27","")</f>
        <v/>
      </c>
      <c r="G197" s="4" t="str">
        <f>HYPERLINK("http://141.218.60.56/~jnz1568/getInfo.php?workbook=10_02.xlsx&amp;sheet=A0&amp;row=197&amp;col=7&amp;number=395200000&amp;sourceID=32","395200000")</f>
        <v>395200000</v>
      </c>
      <c r="H197" s="4" t="str">
        <f>HYPERLINK("http://141.218.60.56/~jnz1568/getInfo.php?workbook=10_02.xlsx&amp;sheet=A0&amp;row=197&amp;col=8&amp;number=&amp;sourceID=32","")</f>
        <v/>
      </c>
      <c r="I197" s="4" t="str">
        <f>HYPERLINK("http://141.218.60.56/~jnz1568/getInfo.php?workbook=10_02.xlsx&amp;sheet=A0&amp;row=197&amp;col=9&amp;number=&amp;sourceID=32","")</f>
        <v/>
      </c>
      <c r="J197" s="4" t="str">
        <f>HYPERLINK("http://141.218.60.56/~jnz1568/getInfo.php?workbook=10_02.xlsx&amp;sheet=A0&amp;row=197&amp;col=10&amp;number=0.2727&amp;sourceID=32","0.2727")</f>
        <v>0.2727</v>
      </c>
      <c r="K197" s="4" t="str">
        <f>HYPERLINK("http://141.218.60.56/~jnz1568/getInfo.php?workbook=10_02.xlsx&amp;sheet=A0&amp;row=197&amp;col=11&amp;number=401910000&amp;sourceID=46","401910000")</f>
        <v>401910000</v>
      </c>
      <c r="L197" s="4" t="str">
        <f>HYPERLINK("http://141.218.60.56/~jnz1568/getInfo.php?workbook=10_02.xlsx&amp;sheet=A0&amp;row=197&amp;col=12&amp;number=&amp;sourceID=47","")</f>
        <v/>
      </c>
    </row>
    <row r="198" spans="1:12">
      <c r="A198" s="3">
        <v>10</v>
      </c>
      <c r="B198" s="3">
        <v>2</v>
      </c>
      <c r="C198" s="3">
        <v>22</v>
      </c>
      <c r="D198" s="3">
        <v>15</v>
      </c>
      <c r="E198" s="3">
        <f>((1/(INDEX(E0!J$4:J$52,C198,1)-INDEX(E0!J$4:J$52,D198,1))))*100000000</f>
        <v>0</v>
      </c>
      <c r="F198" s="4" t="str">
        <f>HYPERLINK("http://141.218.60.56/~jnz1568/getInfo.php?workbook=10_02.xlsx&amp;sheet=A0&amp;row=198&amp;col=6&amp;number=&amp;sourceID=27","")</f>
        <v/>
      </c>
      <c r="G198" s="4" t="str">
        <f>HYPERLINK("http://141.218.60.56/~jnz1568/getInfo.php?workbook=10_02.xlsx&amp;sheet=A0&amp;row=198&amp;col=7&amp;number=2318000000&amp;sourceID=32","2318000000")</f>
        <v>2318000000</v>
      </c>
      <c r="H198" s="4" t="str">
        <f>HYPERLINK("http://141.218.60.56/~jnz1568/getInfo.php?workbook=10_02.xlsx&amp;sheet=A0&amp;row=198&amp;col=8&amp;number=&amp;sourceID=32","")</f>
        <v/>
      </c>
      <c r="I198" s="4" t="str">
        <f>HYPERLINK("http://141.218.60.56/~jnz1568/getInfo.php?workbook=10_02.xlsx&amp;sheet=A0&amp;row=198&amp;col=9&amp;number=&amp;sourceID=32","")</f>
        <v/>
      </c>
      <c r="J198" s="4" t="str">
        <f>HYPERLINK("http://141.218.60.56/~jnz1568/getInfo.php?workbook=10_02.xlsx&amp;sheet=A0&amp;row=198&amp;col=10&amp;number=5.198&amp;sourceID=32","5.198")</f>
        <v>5.198</v>
      </c>
      <c r="K198" s="4" t="str">
        <f>HYPERLINK("http://141.218.60.56/~jnz1568/getInfo.php?workbook=10_02.xlsx&amp;sheet=A0&amp;row=198&amp;col=11&amp;number=2318600000&amp;sourceID=46","2318600000")</f>
        <v>2318600000</v>
      </c>
      <c r="L198" s="4" t="str">
        <f>HYPERLINK("http://141.218.60.56/~jnz1568/getInfo.php?workbook=10_02.xlsx&amp;sheet=A0&amp;row=198&amp;col=12&amp;number=&amp;sourceID=47","")</f>
        <v/>
      </c>
    </row>
    <row r="199" spans="1:12">
      <c r="A199" s="3">
        <v>10</v>
      </c>
      <c r="B199" s="3">
        <v>2</v>
      </c>
      <c r="C199" s="3">
        <v>22</v>
      </c>
      <c r="D199" s="3">
        <v>16</v>
      </c>
      <c r="E199" s="3">
        <f>((1/(INDEX(E0!J$4:J$52,C199,1)-INDEX(E0!J$4:J$52,D199,1))))*100000000</f>
        <v>0</v>
      </c>
      <c r="F199" s="4" t="str">
        <f>HYPERLINK("http://141.218.60.56/~jnz1568/getInfo.php?workbook=10_02.xlsx&amp;sheet=A0&amp;row=199&amp;col=6&amp;number=&amp;sourceID=27","")</f>
        <v/>
      </c>
      <c r="G199" s="4" t="str">
        <f>HYPERLINK("http://141.218.60.56/~jnz1568/getInfo.php?workbook=10_02.xlsx&amp;sheet=A0&amp;row=199&amp;col=7&amp;number=17780000&amp;sourceID=32","17780000")</f>
        <v>17780000</v>
      </c>
      <c r="H199" s="4" t="str">
        <f>HYPERLINK("http://141.218.60.56/~jnz1568/getInfo.php?workbook=10_02.xlsx&amp;sheet=A0&amp;row=199&amp;col=8&amp;number=&amp;sourceID=32","")</f>
        <v/>
      </c>
      <c r="I199" s="4" t="str">
        <f>HYPERLINK("http://141.218.60.56/~jnz1568/getInfo.php?workbook=10_02.xlsx&amp;sheet=A0&amp;row=199&amp;col=9&amp;number=&amp;sourceID=32","")</f>
        <v/>
      </c>
      <c r="J199" s="4" t="str">
        <f>HYPERLINK("http://141.218.60.56/~jnz1568/getInfo.php?workbook=10_02.xlsx&amp;sheet=A0&amp;row=199&amp;col=10&amp;number=1.032&amp;sourceID=32","1.032")</f>
        <v>1.032</v>
      </c>
      <c r="K199" s="4" t="str">
        <f>HYPERLINK("http://141.218.60.56/~jnz1568/getInfo.php?workbook=10_02.xlsx&amp;sheet=A0&amp;row=199&amp;col=11&amp;number=11383000&amp;sourceID=46","11383000")</f>
        <v>11383000</v>
      </c>
      <c r="L199" s="4" t="str">
        <f>HYPERLINK("http://141.218.60.56/~jnz1568/getInfo.php?workbook=10_02.xlsx&amp;sheet=A0&amp;row=199&amp;col=12&amp;number=&amp;sourceID=47","")</f>
        <v/>
      </c>
    </row>
    <row r="200" spans="1:12">
      <c r="A200" s="3">
        <v>10</v>
      </c>
      <c r="B200" s="3">
        <v>2</v>
      </c>
      <c r="C200" s="3">
        <v>22</v>
      </c>
      <c r="D200" s="3">
        <v>17</v>
      </c>
      <c r="E200" s="3">
        <f>((1/(INDEX(E0!J$4:J$52,C200,1)-INDEX(E0!J$4:J$52,D200,1))))*100000000</f>
        <v>0</v>
      </c>
      <c r="F200" s="4" t="str">
        <f>HYPERLINK("http://141.218.60.56/~jnz1568/getInfo.php?workbook=10_02.xlsx&amp;sheet=A0&amp;row=200&amp;col=6&amp;number=&amp;sourceID=27","")</f>
        <v/>
      </c>
      <c r="G200" s="4" t="str">
        <f>HYPERLINK("http://141.218.60.56/~jnz1568/getInfo.php?workbook=10_02.xlsx&amp;sheet=A0&amp;row=200&amp;col=7&amp;number=&amp;sourceID=32","")</f>
        <v/>
      </c>
      <c r="H200" s="4" t="str">
        <f>HYPERLINK("http://141.218.60.56/~jnz1568/getInfo.php?workbook=10_02.xlsx&amp;sheet=A0&amp;row=200&amp;col=8&amp;number=394.7&amp;sourceID=32","394.7")</f>
        <v>394.7</v>
      </c>
      <c r="I200" s="4" t="str">
        <f>HYPERLINK("http://141.218.60.56/~jnz1568/getInfo.php?workbook=10_02.xlsx&amp;sheet=A0&amp;row=200&amp;col=9&amp;number=0.1624&amp;sourceID=32","0.1624")</f>
        <v>0.1624</v>
      </c>
      <c r="J200" s="4" t="str">
        <f>HYPERLINK("http://141.218.60.56/~jnz1568/getInfo.php?workbook=10_02.xlsx&amp;sheet=A0&amp;row=200&amp;col=10&amp;number=&amp;sourceID=32","")</f>
        <v/>
      </c>
      <c r="K200" s="4" t="str">
        <f>HYPERLINK("http://141.218.60.56/~jnz1568/getInfo.php?workbook=10_02.xlsx&amp;sheet=A0&amp;row=200&amp;col=11&amp;number=268.92&amp;sourceID=46","268.92")</f>
        <v>268.92</v>
      </c>
      <c r="L200" s="4" t="str">
        <f>HYPERLINK("http://141.218.60.56/~jnz1568/getInfo.php?workbook=10_02.xlsx&amp;sheet=A0&amp;row=200&amp;col=12&amp;number=&amp;sourceID=47","")</f>
        <v/>
      </c>
    </row>
    <row r="201" spans="1:12">
      <c r="A201" s="3">
        <v>10</v>
      </c>
      <c r="B201" s="3">
        <v>2</v>
      </c>
      <c r="C201" s="3">
        <v>22</v>
      </c>
      <c r="D201" s="3">
        <v>18</v>
      </c>
      <c r="E201" s="3">
        <f>((1/(INDEX(E0!J$4:J$52,C201,1)-INDEX(E0!J$4:J$52,D201,1))))*100000000</f>
        <v>0</v>
      </c>
      <c r="F201" s="4" t="str">
        <f>HYPERLINK("http://141.218.60.56/~jnz1568/getInfo.php?workbook=10_02.xlsx&amp;sheet=A0&amp;row=201&amp;col=6&amp;number=&amp;sourceID=27","")</f>
        <v/>
      </c>
      <c r="G201" s="4" t="str">
        <f>HYPERLINK("http://141.218.60.56/~jnz1568/getInfo.php?workbook=10_02.xlsx&amp;sheet=A0&amp;row=201&amp;col=7&amp;number=3245000&amp;sourceID=32","3245000")</f>
        <v>3245000</v>
      </c>
      <c r="H201" s="4" t="str">
        <f>HYPERLINK("http://141.218.60.56/~jnz1568/getInfo.php?workbook=10_02.xlsx&amp;sheet=A0&amp;row=201&amp;col=8&amp;number=&amp;sourceID=32","")</f>
        <v/>
      </c>
      <c r="I201" s="4" t="str">
        <f>HYPERLINK("http://141.218.60.56/~jnz1568/getInfo.php?workbook=10_02.xlsx&amp;sheet=A0&amp;row=201&amp;col=9&amp;number=&amp;sourceID=32","")</f>
        <v/>
      </c>
      <c r="J201" s="4" t="str">
        <f>HYPERLINK("http://141.218.60.56/~jnz1568/getInfo.php?workbook=10_02.xlsx&amp;sheet=A0&amp;row=201&amp;col=10&amp;number=1.755e-06&amp;sourceID=32","1.755e-06")</f>
        <v>1.755e-06</v>
      </c>
      <c r="K201" s="4" t="str">
        <f>HYPERLINK("http://141.218.60.56/~jnz1568/getInfo.php?workbook=10_02.xlsx&amp;sheet=A0&amp;row=201&amp;col=11&amp;number=3154500&amp;sourceID=46","3154500")</f>
        <v>3154500</v>
      </c>
      <c r="L201" s="4" t="str">
        <f>HYPERLINK("http://141.218.60.56/~jnz1568/getInfo.php?workbook=10_02.xlsx&amp;sheet=A0&amp;row=201&amp;col=12&amp;number=&amp;sourceID=47","")</f>
        <v/>
      </c>
    </row>
    <row r="202" spans="1:12">
      <c r="A202" s="3">
        <v>10</v>
      </c>
      <c r="B202" s="3">
        <v>2</v>
      </c>
      <c r="C202" s="3">
        <v>22</v>
      </c>
      <c r="D202" s="3">
        <v>19</v>
      </c>
      <c r="E202" s="3">
        <f>((1/(INDEX(E0!J$4:J$52,C202,1)-INDEX(E0!J$4:J$52,D202,1))))*100000000</f>
        <v>0</v>
      </c>
      <c r="F202" s="4" t="str">
        <f>HYPERLINK("http://141.218.60.56/~jnz1568/getInfo.php?workbook=10_02.xlsx&amp;sheet=A0&amp;row=202&amp;col=6&amp;number=&amp;sourceID=27","")</f>
        <v/>
      </c>
      <c r="G202" s="4" t="str">
        <f>HYPERLINK("http://141.218.60.56/~jnz1568/getInfo.php?workbook=10_02.xlsx&amp;sheet=A0&amp;row=202&amp;col=7&amp;number=&amp;sourceID=32","")</f>
        <v/>
      </c>
      <c r="H202" s="4" t="str">
        <f>HYPERLINK("http://141.218.60.56/~jnz1568/getInfo.php?workbook=10_02.xlsx&amp;sheet=A0&amp;row=202&amp;col=8&amp;number=3.688e-10&amp;sourceID=32","3.688e-10")</f>
        <v>3.688e-10</v>
      </c>
      <c r="I202" s="4" t="str">
        <f>HYPERLINK("http://141.218.60.56/~jnz1568/getInfo.php?workbook=10_02.xlsx&amp;sheet=A0&amp;row=202&amp;col=9&amp;number=&amp;sourceID=32","")</f>
        <v/>
      </c>
      <c r="J202" s="4" t="str">
        <f>HYPERLINK("http://141.218.60.56/~jnz1568/getInfo.php?workbook=10_02.xlsx&amp;sheet=A0&amp;row=202&amp;col=10&amp;number=&amp;sourceID=32","")</f>
        <v/>
      </c>
      <c r="K202" s="4" t="str">
        <f>HYPERLINK("http://141.218.60.56/~jnz1568/getInfo.php?workbook=10_02.xlsx&amp;sheet=A0&amp;row=202&amp;col=11&amp;number=&amp;sourceID=46","")</f>
        <v/>
      </c>
      <c r="L202" s="4" t="str">
        <f>HYPERLINK("http://141.218.60.56/~jnz1568/getInfo.php?workbook=10_02.xlsx&amp;sheet=A0&amp;row=202&amp;col=12&amp;number=&amp;sourceID=47","")</f>
        <v/>
      </c>
    </row>
    <row r="203" spans="1:12">
      <c r="A203" s="3">
        <v>10</v>
      </c>
      <c r="B203" s="3">
        <v>2</v>
      </c>
      <c r="C203" s="3">
        <v>22</v>
      </c>
      <c r="D203" s="3">
        <v>20</v>
      </c>
      <c r="E203" s="3">
        <f>((1/(INDEX(E0!J$4:J$52,C203,1)-INDEX(E0!J$4:J$52,D203,1))))*100000000</f>
        <v>0</v>
      </c>
      <c r="F203" s="4" t="str">
        <f>HYPERLINK("http://141.218.60.56/~jnz1568/getInfo.php?workbook=10_02.xlsx&amp;sheet=A0&amp;row=203&amp;col=6&amp;number=&amp;sourceID=27","")</f>
        <v/>
      </c>
      <c r="G203" s="4" t="str">
        <f>HYPERLINK("http://141.218.60.56/~jnz1568/getInfo.php?workbook=10_02.xlsx&amp;sheet=A0&amp;row=203&amp;col=7&amp;number=&amp;sourceID=32","")</f>
        <v/>
      </c>
      <c r="H203" s="4" t="str">
        <f>HYPERLINK("http://141.218.60.56/~jnz1568/getInfo.php?workbook=10_02.xlsx&amp;sheet=A0&amp;row=203&amp;col=8&amp;number=2.991e-10&amp;sourceID=32","2.991e-10")</f>
        <v>2.991e-10</v>
      </c>
      <c r="I203" s="4" t="str">
        <f>HYPERLINK("http://141.218.60.56/~jnz1568/getInfo.php?workbook=10_02.xlsx&amp;sheet=A0&amp;row=203&amp;col=9&amp;number=9.947e-05&amp;sourceID=32","9.947e-05")</f>
        <v>9.947e-05</v>
      </c>
      <c r="J203" s="4" t="str">
        <f>HYPERLINK("http://141.218.60.56/~jnz1568/getInfo.php?workbook=10_02.xlsx&amp;sheet=A0&amp;row=203&amp;col=10&amp;number=&amp;sourceID=32","")</f>
        <v/>
      </c>
      <c r="K203" s="4" t="str">
        <f>HYPERLINK("http://141.218.60.56/~jnz1568/getInfo.php?workbook=10_02.xlsx&amp;sheet=A0&amp;row=203&amp;col=11&amp;number=&amp;sourceID=46","")</f>
        <v/>
      </c>
      <c r="L203" s="4" t="str">
        <f>HYPERLINK("http://141.218.60.56/~jnz1568/getInfo.php?workbook=10_02.xlsx&amp;sheet=A0&amp;row=203&amp;col=12&amp;number=&amp;sourceID=47","")</f>
        <v/>
      </c>
    </row>
    <row r="204" spans="1:12">
      <c r="A204" s="3">
        <v>10</v>
      </c>
      <c r="B204" s="3">
        <v>2</v>
      </c>
      <c r="C204" s="3">
        <v>22</v>
      </c>
      <c r="D204" s="3">
        <v>21</v>
      </c>
      <c r="E204" s="3">
        <f>((1/(INDEX(E0!J$4:J$52,C204,1)-INDEX(E0!J$4:J$52,D204,1))))*100000000</f>
        <v>0</v>
      </c>
      <c r="F204" s="4" t="str">
        <f>HYPERLINK("http://141.218.60.56/~jnz1568/getInfo.php?workbook=10_02.xlsx&amp;sheet=A0&amp;row=204&amp;col=6&amp;number=&amp;sourceID=27","")</f>
        <v/>
      </c>
      <c r="G204" s="4" t="str">
        <f>HYPERLINK("http://141.218.60.56/~jnz1568/getInfo.php?workbook=10_02.xlsx&amp;sheet=A0&amp;row=204&amp;col=7&amp;number=&amp;sourceID=32","")</f>
        <v/>
      </c>
      <c r="H204" s="4" t="str">
        <f>HYPERLINK("http://141.218.60.56/~jnz1568/getInfo.php?workbook=10_02.xlsx&amp;sheet=A0&amp;row=204&amp;col=8&amp;number=&amp;sourceID=32","")</f>
        <v/>
      </c>
      <c r="I204" s="4" t="str">
        <f>HYPERLINK("http://141.218.60.56/~jnz1568/getInfo.php?workbook=10_02.xlsx&amp;sheet=A0&amp;row=204&amp;col=9&amp;number=&amp;sourceID=32","")</f>
        <v/>
      </c>
      <c r="J204" s="4" t="str">
        <f>HYPERLINK("http://141.218.60.56/~jnz1568/getInfo.php?workbook=10_02.xlsx&amp;sheet=A0&amp;row=204&amp;col=10&amp;number=2e-15&amp;sourceID=32","2e-15")</f>
        <v>2e-15</v>
      </c>
      <c r="K204" s="4" t="str">
        <f>HYPERLINK("http://141.218.60.56/~jnz1568/getInfo.php?workbook=10_02.xlsx&amp;sheet=A0&amp;row=204&amp;col=11&amp;number=&amp;sourceID=46","")</f>
        <v/>
      </c>
      <c r="L204" s="4" t="str">
        <f>HYPERLINK("http://141.218.60.56/~jnz1568/getInfo.php?workbook=10_02.xlsx&amp;sheet=A0&amp;row=204&amp;col=12&amp;number=&amp;sourceID=47","")</f>
        <v/>
      </c>
    </row>
    <row r="205" spans="1:12">
      <c r="A205" s="3">
        <v>10</v>
      </c>
      <c r="B205" s="3">
        <v>2</v>
      </c>
      <c r="C205" s="3">
        <v>23</v>
      </c>
      <c r="D205" s="3">
        <v>1</v>
      </c>
      <c r="E205" s="3">
        <f>((1/(INDEX(E0!J$4:J$52,C205,1)-INDEX(E0!J$4:J$52,D205,1))))*100000000</f>
        <v>0</v>
      </c>
      <c r="F205" s="4" t="str">
        <f>HYPERLINK("http://141.218.60.56/~jnz1568/getInfo.php?workbook=10_02.xlsx&amp;sheet=A0&amp;row=205&amp;col=6&amp;number=&amp;sourceID=27","")</f>
        <v/>
      </c>
      <c r="G205" s="4" t="str">
        <f>HYPERLINK("http://141.218.60.56/~jnz1568/getInfo.php?workbook=10_02.xlsx&amp;sheet=A0&amp;row=205&amp;col=7&amp;number=&amp;sourceID=32","")</f>
        <v/>
      </c>
      <c r="H205" s="4" t="str">
        <f>HYPERLINK("http://141.218.60.56/~jnz1568/getInfo.php?workbook=10_02.xlsx&amp;sheet=A0&amp;row=205&amp;col=8&amp;number=&amp;sourceID=32","")</f>
        <v/>
      </c>
      <c r="I205" s="4" t="str">
        <f>HYPERLINK("http://141.218.60.56/~jnz1568/getInfo.php?workbook=10_02.xlsx&amp;sheet=A0&amp;row=205&amp;col=9&amp;number=29.36&amp;sourceID=32","29.36")</f>
        <v>29.36</v>
      </c>
      <c r="J205" s="4" t="str">
        <f>HYPERLINK("http://141.218.60.56/~jnz1568/getInfo.php?workbook=10_02.xlsx&amp;sheet=A0&amp;row=205&amp;col=10&amp;number=&amp;sourceID=32","")</f>
        <v/>
      </c>
      <c r="K205" s="4" t="str">
        <f>HYPERLINK("http://141.218.60.56/~jnz1568/getInfo.php?workbook=10_02.xlsx&amp;sheet=A0&amp;row=205&amp;col=11&amp;number=23.937&amp;sourceID=46","23.937")</f>
        <v>23.937</v>
      </c>
      <c r="L205" s="4" t="str">
        <f>HYPERLINK("http://141.218.60.56/~jnz1568/getInfo.php?workbook=10_02.xlsx&amp;sheet=A0&amp;row=205&amp;col=12&amp;number=&amp;sourceID=47","")</f>
        <v/>
      </c>
    </row>
    <row r="206" spans="1:12">
      <c r="A206" s="3">
        <v>10</v>
      </c>
      <c r="B206" s="3">
        <v>2</v>
      </c>
      <c r="C206" s="3">
        <v>23</v>
      </c>
      <c r="D206" s="3">
        <v>2</v>
      </c>
      <c r="E206" s="3">
        <f>((1/(INDEX(E0!J$4:J$52,C206,1)-INDEX(E0!J$4:J$52,D206,1))))*100000000</f>
        <v>0</v>
      </c>
      <c r="F206" s="4" t="str">
        <f>HYPERLINK("http://141.218.60.56/~jnz1568/getInfo.php?workbook=10_02.xlsx&amp;sheet=A0&amp;row=206&amp;col=6&amp;number=&amp;sourceID=27","")</f>
        <v/>
      </c>
      <c r="G206" s="4" t="str">
        <f>HYPERLINK("http://141.218.60.56/~jnz1568/getInfo.php?workbook=10_02.xlsx&amp;sheet=A0&amp;row=206&amp;col=7&amp;number=&amp;sourceID=32","")</f>
        <v/>
      </c>
      <c r="H206" s="4" t="str">
        <f>HYPERLINK("http://141.218.60.56/~jnz1568/getInfo.php?workbook=10_02.xlsx&amp;sheet=A0&amp;row=206&amp;col=8&amp;number=5109000&amp;sourceID=32","5109000")</f>
        <v>5109000</v>
      </c>
      <c r="I206" s="4" t="str">
        <f>HYPERLINK("http://141.218.60.56/~jnz1568/getInfo.php?workbook=10_02.xlsx&amp;sheet=A0&amp;row=206&amp;col=9&amp;number=0.4229&amp;sourceID=32","0.4229")</f>
        <v>0.4229</v>
      </c>
      <c r="J206" s="4" t="str">
        <f>HYPERLINK("http://141.218.60.56/~jnz1568/getInfo.php?workbook=10_02.xlsx&amp;sheet=A0&amp;row=206&amp;col=10&amp;number=&amp;sourceID=32","")</f>
        <v/>
      </c>
      <c r="K206" s="4" t="str">
        <f>HYPERLINK("http://141.218.60.56/~jnz1568/getInfo.php?workbook=10_02.xlsx&amp;sheet=A0&amp;row=206&amp;col=11&amp;number=4905700&amp;sourceID=46","4905700")</f>
        <v>4905700</v>
      </c>
      <c r="L206" s="4" t="str">
        <f>HYPERLINK("http://141.218.60.56/~jnz1568/getInfo.php?workbook=10_02.xlsx&amp;sheet=A0&amp;row=206&amp;col=12&amp;number=&amp;sourceID=47","")</f>
        <v/>
      </c>
    </row>
    <row r="207" spans="1:12">
      <c r="A207" s="3">
        <v>10</v>
      </c>
      <c r="B207" s="3">
        <v>2</v>
      </c>
      <c r="C207" s="3">
        <v>23</v>
      </c>
      <c r="D207" s="3">
        <v>3</v>
      </c>
      <c r="E207" s="3">
        <f>((1/(INDEX(E0!J$4:J$52,C207,1)-INDEX(E0!J$4:J$52,D207,1))))*100000000</f>
        <v>0</v>
      </c>
      <c r="F207" s="4" t="str">
        <f>HYPERLINK("http://141.218.60.56/~jnz1568/getInfo.php?workbook=10_02.xlsx&amp;sheet=A0&amp;row=207&amp;col=6&amp;number=&amp;sourceID=27","")</f>
        <v/>
      </c>
      <c r="G207" s="4" t="str">
        <f>HYPERLINK("http://141.218.60.56/~jnz1568/getInfo.php?workbook=10_02.xlsx&amp;sheet=A0&amp;row=207&amp;col=7&amp;number=79810000000&amp;sourceID=32","79810000000")</f>
        <v>79810000000</v>
      </c>
      <c r="H207" s="4" t="str">
        <f>HYPERLINK("http://141.218.60.56/~jnz1568/getInfo.php?workbook=10_02.xlsx&amp;sheet=A0&amp;row=207&amp;col=8&amp;number=&amp;sourceID=32","")</f>
        <v/>
      </c>
      <c r="I207" s="4" t="str">
        <f>HYPERLINK("http://141.218.60.56/~jnz1568/getInfo.php?workbook=10_02.xlsx&amp;sheet=A0&amp;row=207&amp;col=9&amp;number=&amp;sourceID=32","")</f>
        <v/>
      </c>
      <c r="J207" s="4" t="str">
        <f>HYPERLINK("http://141.218.60.56/~jnz1568/getInfo.php?workbook=10_02.xlsx&amp;sheet=A0&amp;row=207&amp;col=10&amp;number=&amp;sourceID=32","")</f>
        <v/>
      </c>
      <c r="K207" s="4" t="str">
        <f>HYPERLINK("http://141.218.60.56/~jnz1568/getInfo.php?workbook=10_02.xlsx&amp;sheet=A0&amp;row=207&amp;col=11&amp;number=80122000000&amp;sourceID=46","80122000000")</f>
        <v>80122000000</v>
      </c>
      <c r="L207" s="4" t="str">
        <f>HYPERLINK("http://141.218.60.56/~jnz1568/getInfo.php?workbook=10_02.xlsx&amp;sheet=A0&amp;row=207&amp;col=12&amp;number=&amp;sourceID=47","")</f>
        <v/>
      </c>
    </row>
    <row r="208" spans="1:12">
      <c r="A208" s="3">
        <v>10</v>
      </c>
      <c r="B208" s="3">
        <v>2</v>
      </c>
      <c r="C208" s="3">
        <v>23</v>
      </c>
      <c r="D208" s="3">
        <v>4</v>
      </c>
      <c r="E208" s="3">
        <f>((1/(INDEX(E0!J$4:J$52,C208,1)-INDEX(E0!J$4:J$52,D208,1))))*100000000</f>
        <v>0</v>
      </c>
      <c r="F208" s="4" t="str">
        <f>HYPERLINK("http://141.218.60.56/~jnz1568/getInfo.php?workbook=10_02.xlsx&amp;sheet=A0&amp;row=208&amp;col=6&amp;number=&amp;sourceID=27","")</f>
        <v/>
      </c>
      <c r="G208" s="4" t="str">
        <f>HYPERLINK("http://141.218.60.56/~jnz1568/getInfo.php?workbook=10_02.xlsx&amp;sheet=A0&amp;row=208&amp;col=7&amp;number=59810000000&amp;sourceID=32","59810000000")</f>
        <v>59810000000</v>
      </c>
      <c r="H208" s="4" t="str">
        <f>HYPERLINK("http://141.218.60.56/~jnz1568/getInfo.php?workbook=10_02.xlsx&amp;sheet=A0&amp;row=208&amp;col=8&amp;number=&amp;sourceID=32","")</f>
        <v/>
      </c>
      <c r="I208" s="4" t="str">
        <f>HYPERLINK("http://141.218.60.56/~jnz1568/getInfo.php?workbook=10_02.xlsx&amp;sheet=A0&amp;row=208&amp;col=9&amp;number=&amp;sourceID=32","")</f>
        <v/>
      </c>
      <c r="J208" s="4" t="str">
        <f>HYPERLINK("http://141.218.60.56/~jnz1568/getInfo.php?workbook=10_02.xlsx&amp;sheet=A0&amp;row=208&amp;col=10&amp;number=107.4&amp;sourceID=32","107.4")</f>
        <v>107.4</v>
      </c>
      <c r="K208" s="4" t="str">
        <f>HYPERLINK("http://141.218.60.56/~jnz1568/getInfo.php?workbook=10_02.xlsx&amp;sheet=A0&amp;row=208&amp;col=11&amp;number=59999000000&amp;sourceID=46","59999000000")</f>
        <v>59999000000</v>
      </c>
      <c r="L208" s="4" t="str">
        <f>HYPERLINK("http://141.218.60.56/~jnz1568/getInfo.php?workbook=10_02.xlsx&amp;sheet=A0&amp;row=208&amp;col=12&amp;number=&amp;sourceID=47","")</f>
        <v/>
      </c>
    </row>
    <row r="209" spans="1:12">
      <c r="A209" s="3">
        <v>10</v>
      </c>
      <c r="B209" s="3">
        <v>2</v>
      </c>
      <c r="C209" s="3">
        <v>23</v>
      </c>
      <c r="D209" s="3">
        <v>5</v>
      </c>
      <c r="E209" s="3">
        <f>((1/(INDEX(E0!J$4:J$52,C209,1)-INDEX(E0!J$4:J$52,D209,1))))*100000000</f>
        <v>0</v>
      </c>
      <c r="F209" s="4" t="str">
        <f>HYPERLINK("http://141.218.60.56/~jnz1568/getInfo.php?workbook=10_02.xlsx&amp;sheet=A0&amp;row=209&amp;col=6&amp;number=&amp;sourceID=27","")</f>
        <v/>
      </c>
      <c r="G209" s="4" t="str">
        <f>HYPERLINK("http://141.218.60.56/~jnz1568/getInfo.php?workbook=10_02.xlsx&amp;sheet=A0&amp;row=209&amp;col=7&amp;number=3977000000&amp;sourceID=32","3977000000")</f>
        <v>3977000000</v>
      </c>
      <c r="H209" s="4" t="str">
        <f>HYPERLINK("http://141.218.60.56/~jnz1568/getInfo.php?workbook=10_02.xlsx&amp;sheet=A0&amp;row=209&amp;col=8&amp;number=&amp;sourceID=32","")</f>
        <v/>
      </c>
      <c r="I209" s="4" t="str">
        <f>HYPERLINK("http://141.218.60.56/~jnz1568/getInfo.php?workbook=10_02.xlsx&amp;sheet=A0&amp;row=209&amp;col=9&amp;number=&amp;sourceID=32","")</f>
        <v/>
      </c>
      <c r="J209" s="4" t="str">
        <f>HYPERLINK("http://141.218.60.56/~jnz1568/getInfo.php?workbook=10_02.xlsx&amp;sheet=A0&amp;row=209&amp;col=10&amp;number=0.0005853&amp;sourceID=32","0.0005853")</f>
        <v>0.0005853</v>
      </c>
      <c r="K209" s="4" t="str">
        <f>HYPERLINK("http://141.218.60.56/~jnz1568/getInfo.php?workbook=10_02.xlsx&amp;sheet=A0&amp;row=209&amp;col=11&amp;number=3983300000&amp;sourceID=46","3983300000")</f>
        <v>3983300000</v>
      </c>
      <c r="L209" s="4" t="str">
        <f>HYPERLINK("http://141.218.60.56/~jnz1568/getInfo.php?workbook=10_02.xlsx&amp;sheet=A0&amp;row=209&amp;col=12&amp;number=&amp;sourceID=47","")</f>
        <v/>
      </c>
    </row>
    <row r="210" spans="1:12">
      <c r="A210" s="3">
        <v>10</v>
      </c>
      <c r="B210" s="3">
        <v>2</v>
      </c>
      <c r="C210" s="3">
        <v>23</v>
      </c>
      <c r="D210" s="3">
        <v>6</v>
      </c>
      <c r="E210" s="3">
        <f>((1/(INDEX(E0!J$4:J$52,C210,1)-INDEX(E0!J$4:J$52,D210,1))))*100000000</f>
        <v>0</v>
      </c>
      <c r="F210" s="4" t="str">
        <f>HYPERLINK("http://141.218.60.56/~jnz1568/getInfo.php?workbook=10_02.xlsx&amp;sheet=A0&amp;row=210&amp;col=6&amp;number=&amp;sourceID=27","")</f>
        <v/>
      </c>
      <c r="G210" s="4" t="str">
        <f>HYPERLINK("http://141.218.60.56/~jnz1568/getInfo.php?workbook=10_02.xlsx&amp;sheet=A0&amp;row=210&amp;col=7&amp;number=&amp;sourceID=32","")</f>
        <v/>
      </c>
      <c r="H210" s="4" t="str">
        <f>HYPERLINK("http://141.218.60.56/~jnz1568/getInfo.php?workbook=10_02.xlsx&amp;sheet=A0&amp;row=210&amp;col=8&amp;number=&amp;sourceID=32","")</f>
        <v/>
      </c>
      <c r="I210" s="4" t="str">
        <f>HYPERLINK("http://141.218.60.56/~jnz1568/getInfo.php?workbook=10_02.xlsx&amp;sheet=A0&amp;row=210&amp;col=9&amp;number=0.2253&amp;sourceID=32","0.2253")</f>
        <v>0.2253</v>
      </c>
      <c r="J210" s="4" t="str">
        <f>HYPERLINK("http://141.218.60.56/~jnz1568/getInfo.php?workbook=10_02.xlsx&amp;sheet=A0&amp;row=210&amp;col=10&amp;number=&amp;sourceID=32","")</f>
        <v/>
      </c>
      <c r="K210" s="4" t="str">
        <f>HYPERLINK("http://141.218.60.56/~jnz1568/getInfo.php?workbook=10_02.xlsx&amp;sheet=A0&amp;row=210&amp;col=11&amp;number=&amp;sourceID=46","")</f>
        <v/>
      </c>
      <c r="L210" s="4" t="str">
        <f>HYPERLINK("http://141.218.60.56/~jnz1568/getInfo.php?workbook=10_02.xlsx&amp;sheet=A0&amp;row=210&amp;col=12&amp;number=&amp;sourceID=47","")</f>
        <v/>
      </c>
    </row>
    <row r="211" spans="1:12">
      <c r="A211" s="3">
        <v>10</v>
      </c>
      <c r="B211" s="3">
        <v>2</v>
      </c>
      <c r="C211" s="3">
        <v>23</v>
      </c>
      <c r="D211" s="3">
        <v>7</v>
      </c>
      <c r="E211" s="3">
        <f>((1/(INDEX(E0!J$4:J$52,C211,1)-INDEX(E0!J$4:J$52,D211,1))))*100000000</f>
        <v>0</v>
      </c>
      <c r="F211" s="4" t="str">
        <f>HYPERLINK("http://141.218.60.56/~jnz1568/getInfo.php?workbook=10_02.xlsx&amp;sheet=A0&amp;row=211&amp;col=6&amp;number=&amp;sourceID=27","")</f>
        <v/>
      </c>
      <c r="G211" s="4" t="str">
        <f>HYPERLINK("http://141.218.60.56/~jnz1568/getInfo.php?workbook=10_02.xlsx&amp;sheet=A0&amp;row=211&amp;col=7&amp;number=31150000&amp;sourceID=32","31150000")</f>
        <v>31150000</v>
      </c>
      <c r="H211" s="4" t="str">
        <f>HYPERLINK("http://141.218.60.56/~jnz1568/getInfo.php?workbook=10_02.xlsx&amp;sheet=A0&amp;row=211&amp;col=8&amp;number=&amp;sourceID=32","")</f>
        <v/>
      </c>
      <c r="I211" s="4" t="str">
        <f>HYPERLINK("http://141.218.60.56/~jnz1568/getInfo.php?workbook=10_02.xlsx&amp;sheet=A0&amp;row=211&amp;col=9&amp;number=&amp;sourceID=32","")</f>
        <v/>
      </c>
      <c r="J211" s="4" t="str">
        <f>HYPERLINK("http://141.218.60.56/~jnz1568/getInfo.php?workbook=10_02.xlsx&amp;sheet=A0&amp;row=211&amp;col=10&amp;number=41.28&amp;sourceID=32","41.28")</f>
        <v>41.28</v>
      </c>
      <c r="K211" s="4" t="str">
        <f>HYPERLINK("http://141.218.60.56/~jnz1568/getInfo.php?workbook=10_02.xlsx&amp;sheet=A0&amp;row=211&amp;col=11&amp;number=21629000&amp;sourceID=46","21629000")</f>
        <v>21629000</v>
      </c>
      <c r="L211" s="4" t="str">
        <f>HYPERLINK("http://141.218.60.56/~jnz1568/getInfo.php?workbook=10_02.xlsx&amp;sheet=A0&amp;row=211&amp;col=12&amp;number=&amp;sourceID=47","")</f>
        <v/>
      </c>
    </row>
    <row r="212" spans="1:12">
      <c r="A212" s="3">
        <v>10</v>
      </c>
      <c r="B212" s="3">
        <v>2</v>
      </c>
      <c r="C212" s="3">
        <v>23</v>
      </c>
      <c r="D212" s="3">
        <v>8</v>
      </c>
      <c r="E212" s="3">
        <f>((1/(INDEX(E0!J$4:J$52,C212,1)-INDEX(E0!J$4:J$52,D212,1))))*100000000</f>
        <v>0</v>
      </c>
      <c r="F212" s="4" t="str">
        <f>HYPERLINK("http://141.218.60.56/~jnz1568/getInfo.php?workbook=10_02.xlsx&amp;sheet=A0&amp;row=212&amp;col=6&amp;number=&amp;sourceID=27","")</f>
        <v/>
      </c>
      <c r="G212" s="4" t="str">
        <f>HYPERLINK("http://141.218.60.56/~jnz1568/getInfo.php?workbook=10_02.xlsx&amp;sheet=A0&amp;row=212&amp;col=7&amp;number=&amp;sourceID=32","")</f>
        <v/>
      </c>
      <c r="H212" s="4" t="str">
        <f>HYPERLINK("http://141.218.60.56/~jnz1568/getInfo.php?workbook=10_02.xlsx&amp;sheet=A0&amp;row=212&amp;col=8&amp;number=2353000&amp;sourceID=32","2353000")</f>
        <v>2353000</v>
      </c>
      <c r="I212" s="4" t="str">
        <f>HYPERLINK("http://141.218.60.56/~jnz1568/getInfo.php?workbook=10_02.xlsx&amp;sheet=A0&amp;row=212&amp;col=9&amp;number=0.007585&amp;sourceID=32","0.007585")</f>
        <v>0.007585</v>
      </c>
      <c r="J212" s="4" t="str">
        <f>HYPERLINK("http://141.218.60.56/~jnz1568/getInfo.php?workbook=10_02.xlsx&amp;sheet=A0&amp;row=212&amp;col=10&amp;number=&amp;sourceID=32","")</f>
        <v/>
      </c>
      <c r="K212" s="4" t="str">
        <f>HYPERLINK("http://141.218.60.56/~jnz1568/getInfo.php?workbook=10_02.xlsx&amp;sheet=A0&amp;row=212&amp;col=11&amp;number=2349700&amp;sourceID=46","2349700")</f>
        <v>2349700</v>
      </c>
      <c r="L212" s="4" t="str">
        <f>HYPERLINK("http://141.218.60.56/~jnz1568/getInfo.php?workbook=10_02.xlsx&amp;sheet=A0&amp;row=212&amp;col=12&amp;number=&amp;sourceID=47","")</f>
        <v/>
      </c>
    </row>
    <row r="213" spans="1:12">
      <c r="A213" s="3">
        <v>10</v>
      </c>
      <c r="B213" s="3">
        <v>2</v>
      </c>
      <c r="C213" s="3">
        <v>23</v>
      </c>
      <c r="D213" s="3">
        <v>9</v>
      </c>
      <c r="E213" s="3">
        <f>((1/(INDEX(E0!J$4:J$52,C213,1)-INDEX(E0!J$4:J$52,D213,1))))*100000000</f>
        <v>0</v>
      </c>
      <c r="F213" s="4" t="str">
        <f>HYPERLINK("http://141.218.60.56/~jnz1568/getInfo.php?workbook=10_02.xlsx&amp;sheet=A0&amp;row=213&amp;col=6&amp;number=&amp;sourceID=27","")</f>
        <v/>
      </c>
      <c r="G213" s="4" t="str">
        <f>HYPERLINK("http://141.218.60.56/~jnz1568/getInfo.php?workbook=10_02.xlsx&amp;sheet=A0&amp;row=213&amp;col=7&amp;number=25390000000&amp;sourceID=32","25390000000")</f>
        <v>25390000000</v>
      </c>
      <c r="H213" s="4" t="str">
        <f>HYPERLINK("http://141.218.60.56/~jnz1568/getInfo.php?workbook=10_02.xlsx&amp;sheet=A0&amp;row=213&amp;col=8&amp;number=&amp;sourceID=32","")</f>
        <v/>
      </c>
      <c r="I213" s="4" t="str">
        <f>HYPERLINK("http://141.218.60.56/~jnz1568/getInfo.php?workbook=10_02.xlsx&amp;sheet=A0&amp;row=213&amp;col=9&amp;number=&amp;sourceID=32","")</f>
        <v/>
      </c>
      <c r="J213" s="4" t="str">
        <f>HYPERLINK("http://141.218.60.56/~jnz1568/getInfo.php?workbook=10_02.xlsx&amp;sheet=A0&amp;row=213&amp;col=10&amp;number=&amp;sourceID=32","")</f>
        <v/>
      </c>
      <c r="K213" s="4" t="str">
        <f>HYPERLINK("http://141.218.60.56/~jnz1568/getInfo.php?workbook=10_02.xlsx&amp;sheet=A0&amp;row=213&amp;col=11&amp;number=25363000000&amp;sourceID=46","25363000000")</f>
        <v>25363000000</v>
      </c>
      <c r="L213" s="4" t="str">
        <f>HYPERLINK("http://141.218.60.56/~jnz1568/getInfo.php?workbook=10_02.xlsx&amp;sheet=A0&amp;row=213&amp;col=12&amp;number=&amp;sourceID=47","")</f>
        <v/>
      </c>
    </row>
    <row r="214" spans="1:12">
      <c r="A214" s="3">
        <v>10</v>
      </c>
      <c r="B214" s="3">
        <v>2</v>
      </c>
      <c r="C214" s="3">
        <v>23</v>
      </c>
      <c r="D214" s="3">
        <v>10</v>
      </c>
      <c r="E214" s="3">
        <f>((1/(INDEX(E0!J$4:J$52,C214,1)-INDEX(E0!J$4:J$52,D214,1))))*100000000</f>
        <v>0</v>
      </c>
      <c r="F214" s="4" t="str">
        <f>HYPERLINK("http://141.218.60.56/~jnz1568/getInfo.php?workbook=10_02.xlsx&amp;sheet=A0&amp;row=214&amp;col=6&amp;number=&amp;sourceID=27","")</f>
        <v/>
      </c>
      <c r="G214" s="4" t="str">
        <f>HYPERLINK("http://141.218.60.56/~jnz1568/getInfo.php?workbook=10_02.xlsx&amp;sheet=A0&amp;row=214&amp;col=7&amp;number=19040000000&amp;sourceID=32","19040000000")</f>
        <v>19040000000</v>
      </c>
      <c r="H214" s="4" t="str">
        <f>HYPERLINK("http://141.218.60.56/~jnz1568/getInfo.php?workbook=10_02.xlsx&amp;sheet=A0&amp;row=214&amp;col=8&amp;number=&amp;sourceID=32","")</f>
        <v/>
      </c>
      <c r="I214" s="4" t="str">
        <f>HYPERLINK("http://141.218.60.56/~jnz1568/getInfo.php?workbook=10_02.xlsx&amp;sheet=A0&amp;row=214&amp;col=9&amp;number=&amp;sourceID=32","")</f>
        <v/>
      </c>
      <c r="J214" s="4" t="str">
        <f>HYPERLINK("http://141.218.60.56/~jnz1568/getInfo.php?workbook=10_02.xlsx&amp;sheet=A0&amp;row=214&amp;col=10&amp;number=2.295&amp;sourceID=32","2.295")</f>
        <v>2.295</v>
      </c>
      <c r="K214" s="4" t="str">
        <f>HYPERLINK("http://141.218.60.56/~jnz1568/getInfo.php?workbook=10_02.xlsx&amp;sheet=A0&amp;row=214&amp;col=11&amp;number=19019000000&amp;sourceID=46","19019000000")</f>
        <v>19019000000</v>
      </c>
      <c r="L214" s="4" t="str">
        <f>HYPERLINK("http://141.218.60.56/~jnz1568/getInfo.php?workbook=10_02.xlsx&amp;sheet=A0&amp;row=214&amp;col=12&amp;number=&amp;sourceID=47","")</f>
        <v/>
      </c>
    </row>
    <row r="215" spans="1:12">
      <c r="A215" s="3">
        <v>10</v>
      </c>
      <c r="B215" s="3">
        <v>2</v>
      </c>
      <c r="C215" s="3">
        <v>23</v>
      </c>
      <c r="D215" s="3">
        <v>11</v>
      </c>
      <c r="E215" s="3">
        <f>((1/(INDEX(E0!J$4:J$52,C215,1)-INDEX(E0!J$4:J$52,D215,1))))*100000000</f>
        <v>0</v>
      </c>
      <c r="F215" s="4" t="str">
        <f>HYPERLINK("http://141.218.60.56/~jnz1568/getInfo.php?workbook=10_02.xlsx&amp;sheet=A0&amp;row=215&amp;col=6&amp;number=&amp;sourceID=27","")</f>
        <v/>
      </c>
      <c r="G215" s="4" t="str">
        <f>HYPERLINK("http://141.218.60.56/~jnz1568/getInfo.php?workbook=10_02.xlsx&amp;sheet=A0&amp;row=215&amp;col=7&amp;number=&amp;sourceID=32","")</f>
        <v/>
      </c>
      <c r="H215" s="4" t="str">
        <f>HYPERLINK("http://141.218.60.56/~jnz1568/getInfo.php?workbook=10_02.xlsx&amp;sheet=A0&amp;row=215&amp;col=8&amp;number=&amp;sourceID=32","")</f>
        <v/>
      </c>
      <c r="I215" s="4" t="str">
        <f>HYPERLINK("http://141.218.60.56/~jnz1568/getInfo.php?workbook=10_02.xlsx&amp;sheet=A0&amp;row=215&amp;col=9&amp;number=0.001761&amp;sourceID=32","0.001761")</f>
        <v>0.001761</v>
      </c>
      <c r="J215" s="4" t="str">
        <f>HYPERLINK("http://141.218.60.56/~jnz1568/getInfo.php?workbook=10_02.xlsx&amp;sheet=A0&amp;row=215&amp;col=10&amp;number=&amp;sourceID=32","")</f>
        <v/>
      </c>
      <c r="K215" s="4" t="str">
        <f>HYPERLINK("http://141.218.60.56/~jnz1568/getInfo.php?workbook=10_02.xlsx&amp;sheet=A0&amp;row=215&amp;col=11&amp;number=&amp;sourceID=46","")</f>
        <v/>
      </c>
      <c r="L215" s="4" t="str">
        <f>HYPERLINK("http://141.218.60.56/~jnz1568/getInfo.php?workbook=10_02.xlsx&amp;sheet=A0&amp;row=215&amp;col=12&amp;number=&amp;sourceID=47","")</f>
        <v/>
      </c>
    </row>
    <row r="216" spans="1:12">
      <c r="A216" s="3">
        <v>10</v>
      </c>
      <c r="B216" s="3">
        <v>2</v>
      </c>
      <c r="C216" s="3">
        <v>23</v>
      </c>
      <c r="D216" s="3">
        <v>12</v>
      </c>
      <c r="E216" s="3">
        <f>((1/(INDEX(E0!J$4:J$52,C216,1)-INDEX(E0!J$4:J$52,D216,1))))*100000000</f>
        <v>0</v>
      </c>
      <c r="F216" s="4" t="str">
        <f>HYPERLINK("http://141.218.60.56/~jnz1568/getInfo.php?workbook=10_02.xlsx&amp;sheet=A0&amp;row=216&amp;col=6&amp;number=&amp;sourceID=27","")</f>
        <v/>
      </c>
      <c r="G216" s="4" t="str">
        <f>HYPERLINK("http://141.218.60.56/~jnz1568/getInfo.php?workbook=10_02.xlsx&amp;sheet=A0&amp;row=216&amp;col=7&amp;number=1269000000&amp;sourceID=32","1269000000")</f>
        <v>1269000000</v>
      </c>
      <c r="H216" s="4" t="str">
        <f>HYPERLINK("http://141.218.60.56/~jnz1568/getInfo.php?workbook=10_02.xlsx&amp;sheet=A0&amp;row=216&amp;col=8&amp;number=&amp;sourceID=32","")</f>
        <v/>
      </c>
      <c r="I216" s="4" t="str">
        <f>HYPERLINK("http://141.218.60.56/~jnz1568/getInfo.php?workbook=10_02.xlsx&amp;sheet=A0&amp;row=216&amp;col=9&amp;number=&amp;sourceID=32","")</f>
        <v/>
      </c>
      <c r="J216" s="4" t="str">
        <f>HYPERLINK("http://141.218.60.56/~jnz1568/getInfo.php?workbook=10_02.xlsx&amp;sheet=A0&amp;row=216&amp;col=10&amp;number=4.074e-07&amp;sourceID=32","4.074e-07")</f>
        <v>4.074e-07</v>
      </c>
      <c r="K216" s="4" t="str">
        <f>HYPERLINK("http://141.218.60.56/~jnz1568/getInfo.php?workbook=10_02.xlsx&amp;sheet=A0&amp;row=216&amp;col=11&amp;number=1267100000&amp;sourceID=46","1267100000")</f>
        <v>1267100000</v>
      </c>
      <c r="L216" s="4" t="str">
        <f>HYPERLINK("http://141.218.60.56/~jnz1568/getInfo.php?workbook=10_02.xlsx&amp;sheet=A0&amp;row=216&amp;col=12&amp;number=&amp;sourceID=47","")</f>
        <v/>
      </c>
    </row>
    <row r="217" spans="1:12">
      <c r="A217" s="3">
        <v>10</v>
      </c>
      <c r="B217" s="3">
        <v>2</v>
      </c>
      <c r="C217" s="3">
        <v>23</v>
      </c>
      <c r="D217" s="3">
        <v>13</v>
      </c>
      <c r="E217" s="3">
        <f>((1/(INDEX(E0!J$4:J$52,C217,1)-INDEX(E0!J$4:J$52,D217,1))))*100000000</f>
        <v>0</v>
      </c>
      <c r="F217" s="4" t="str">
        <f>HYPERLINK("http://141.218.60.56/~jnz1568/getInfo.php?workbook=10_02.xlsx&amp;sheet=A0&amp;row=217&amp;col=6&amp;number=&amp;sourceID=27","")</f>
        <v/>
      </c>
      <c r="G217" s="4" t="str">
        <f>HYPERLINK("http://141.218.60.56/~jnz1568/getInfo.php?workbook=10_02.xlsx&amp;sheet=A0&amp;row=217&amp;col=7&amp;number=&amp;sourceID=32","")</f>
        <v/>
      </c>
      <c r="H217" s="4" t="str">
        <f>HYPERLINK("http://141.218.60.56/~jnz1568/getInfo.php?workbook=10_02.xlsx&amp;sheet=A0&amp;row=217&amp;col=8&amp;number=221300&amp;sourceID=32","221300")</f>
        <v>221300</v>
      </c>
      <c r="I217" s="4" t="str">
        <f>HYPERLINK("http://141.218.60.56/~jnz1568/getInfo.php?workbook=10_02.xlsx&amp;sheet=A0&amp;row=217&amp;col=9&amp;number=0.05788&amp;sourceID=32","0.05788")</f>
        <v>0.05788</v>
      </c>
      <c r="J217" s="4" t="str">
        <f>HYPERLINK("http://141.218.60.56/~jnz1568/getInfo.php?workbook=10_02.xlsx&amp;sheet=A0&amp;row=217&amp;col=10&amp;number=&amp;sourceID=32","")</f>
        <v/>
      </c>
      <c r="K217" s="4" t="str">
        <f>HYPERLINK("http://141.218.60.56/~jnz1568/getInfo.php?workbook=10_02.xlsx&amp;sheet=A0&amp;row=217&amp;col=11&amp;number=221240&amp;sourceID=46","221240")</f>
        <v>221240</v>
      </c>
      <c r="L217" s="4" t="str">
        <f>HYPERLINK("http://141.218.60.56/~jnz1568/getInfo.php?workbook=10_02.xlsx&amp;sheet=A0&amp;row=217&amp;col=12&amp;number=&amp;sourceID=47","")</f>
        <v/>
      </c>
    </row>
    <row r="218" spans="1:12">
      <c r="A218" s="3">
        <v>10</v>
      </c>
      <c r="B218" s="3">
        <v>2</v>
      </c>
      <c r="C218" s="3">
        <v>23</v>
      </c>
      <c r="D218" s="3">
        <v>14</v>
      </c>
      <c r="E218" s="3">
        <f>((1/(INDEX(E0!J$4:J$52,C218,1)-INDEX(E0!J$4:J$52,D218,1))))*100000000</f>
        <v>0</v>
      </c>
      <c r="F218" s="4" t="str">
        <f>HYPERLINK("http://141.218.60.56/~jnz1568/getInfo.php?workbook=10_02.xlsx&amp;sheet=A0&amp;row=218&amp;col=6&amp;number=&amp;sourceID=27","")</f>
        <v/>
      </c>
      <c r="G218" s="4" t="str">
        <f>HYPERLINK("http://141.218.60.56/~jnz1568/getInfo.php?workbook=10_02.xlsx&amp;sheet=A0&amp;row=218&amp;col=7&amp;number=&amp;sourceID=32","")</f>
        <v/>
      </c>
      <c r="H218" s="4" t="str">
        <f>HYPERLINK("http://141.218.60.56/~jnz1568/getInfo.php?workbook=10_02.xlsx&amp;sheet=A0&amp;row=218&amp;col=8&amp;number=353800&amp;sourceID=32","353800")</f>
        <v>353800</v>
      </c>
      <c r="I218" s="4" t="str">
        <f>HYPERLINK("http://141.218.60.56/~jnz1568/getInfo.php?workbook=10_02.xlsx&amp;sheet=A0&amp;row=218&amp;col=9&amp;number=8.651e-05&amp;sourceID=32","8.651e-05")</f>
        <v>8.651e-05</v>
      </c>
      <c r="J218" s="4" t="str">
        <f>HYPERLINK("http://141.218.60.56/~jnz1568/getInfo.php?workbook=10_02.xlsx&amp;sheet=A0&amp;row=218&amp;col=10&amp;number=&amp;sourceID=32","")</f>
        <v/>
      </c>
      <c r="K218" s="4" t="str">
        <f>HYPERLINK("http://141.218.60.56/~jnz1568/getInfo.php?workbook=10_02.xlsx&amp;sheet=A0&amp;row=218&amp;col=11&amp;number=359380&amp;sourceID=46","359380")</f>
        <v>359380</v>
      </c>
      <c r="L218" s="4" t="str">
        <f>HYPERLINK("http://141.218.60.56/~jnz1568/getInfo.php?workbook=10_02.xlsx&amp;sheet=A0&amp;row=218&amp;col=12&amp;number=&amp;sourceID=47","")</f>
        <v/>
      </c>
    </row>
    <row r="219" spans="1:12">
      <c r="A219" s="3">
        <v>10</v>
      </c>
      <c r="B219" s="3">
        <v>2</v>
      </c>
      <c r="C219" s="3">
        <v>23</v>
      </c>
      <c r="D219" s="3">
        <v>15</v>
      </c>
      <c r="E219" s="3">
        <f>((1/(INDEX(E0!J$4:J$52,C219,1)-INDEX(E0!J$4:J$52,D219,1))))*100000000</f>
        <v>0</v>
      </c>
      <c r="F219" s="4" t="str">
        <f>HYPERLINK("http://141.218.60.56/~jnz1568/getInfo.php?workbook=10_02.xlsx&amp;sheet=A0&amp;row=219&amp;col=6&amp;number=&amp;sourceID=27","")</f>
        <v/>
      </c>
      <c r="G219" s="4" t="str">
        <f>HYPERLINK("http://141.218.60.56/~jnz1568/getInfo.php?workbook=10_02.xlsx&amp;sheet=A0&amp;row=219&amp;col=7&amp;number=&amp;sourceID=32","")</f>
        <v/>
      </c>
      <c r="H219" s="4" t="str">
        <f>HYPERLINK("http://141.218.60.56/~jnz1568/getInfo.php?workbook=10_02.xlsx&amp;sheet=A0&amp;row=219&amp;col=8&amp;number=42140&amp;sourceID=32","42140")</f>
        <v>42140</v>
      </c>
      <c r="I219" s="4" t="str">
        <f>HYPERLINK("http://141.218.60.56/~jnz1568/getInfo.php?workbook=10_02.xlsx&amp;sheet=A0&amp;row=219&amp;col=9&amp;number=&amp;sourceID=32","")</f>
        <v/>
      </c>
      <c r="J219" s="4" t="str">
        <f>HYPERLINK("http://141.218.60.56/~jnz1568/getInfo.php?workbook=10_02.xlsx&amp;sheet=A0&amp;row=219&amp;col=10&amp;number=&amp;sourceID=32","")</f>
        <v/>
      </c>
      <c r="K219" s="4" t="str">
        <f>HYPERLINK("http://141.218.60.56/~jnz1568/getInfo.php?workbook=10_02.xlsx&amp;sheet=A0&amp;row=219&amp;col=11&amp;number=42134&amp;sourceID=46","42134")</f>
        <v>42134</v>
      </c>
      <c r="L219" s="4" t="str">
        <f>HYPERLINK("http://141.218.60.56/~jnz1568/getInfo.php?workbook=10_02.xlsx&amp;sheet=A0&amp;row=219&amp;col=12&amp;number=&amp;sourceID=47","")</f>
        <v/>
      </c>
    </row>
    <row r="220" spans="1:12">
      <c r="A220" s="3">
        <v>10</v>
      </c>
      <c r="B220" s="3">
        <v>2</v>
      </c>
      <c r="C220" s="3">
        <v>23</v>
      </c>
      <c r="D220" s="3">
        <v>16</v>
      </c>
      <c r="E220" s="3">
        <f>((1/(INDEX(E0!J$4:J$52,C220,1)-INDEX(E0!J$4:J$52,D220,1))))*100000000</f>
        <v>0</v>
      </c>
      <c r="F220" s="4" t="str">
        <f>HYPERLINK("http://141.218.60.56/~jnz1568/getInfo.php?workbook=10_02.xlsx&amp;sheet=A0&amp;row=220&amp;col=6&amp;number=&amp;sourceID=27","")</f>
        <v/>
      </c>
      <c r="G220" s="4" t="str">
        <f>HYPERLINK("http://141.218.60.56/~jnz1568/getInfo.php?workbook=10_02.xlsx&amp;sheet=A0&amp;row=220&amp;col=7&amp;number=&amp;sourceID=32","")</f>
        <v/>
      </c>
      <c r="H220" s="4" t="str">
        <f>HYPERLINK("http://141.218.60.56/~jnz1568/getInfo.php?workbook=10_02.xlsx&amp;sheet=A0&amp;row=220&amp;col=8&amp;number=15730&amp;sourceID=32","15730")</f>
        <v>15730</v>
      </c>
      <c r="I220" s="4" t="str">
        <f>HYPERLINK("http://141.218.60.56/~jnz1568/getInfo.php?workbook=10_02.xlsx&amp;sheet=A0&amp;row=220&amp;col=9&amp;number=0.2204&amp;sourceID=32","0.2204")</f>
        <v>0.2204</v>
      </c>
      <c r="J220" s="4" t="str">
        <f>HYPERLINK("http://141.218.60.56/~jnz1568/getInfo.php?workbook=10_02.xlsx&amp;sheet=A0&amp;row=220&amp;col=10&amp;number=&amp;sourceID=32","")</f>
        <v/>
      </c>
      <c r="K220" s="4" t="str">
        <f>HYPERLINK("http://141.218.60.56/~jnz1568/getInfo.php?workbook=10_02.xlsx&amp;sheet=A0&amp;row=220&amp;col=11&amp;number=10044&amp;sourceID=46","10044")</f>
        <v>10044</v>
      </c>
      <c r="L220" s="4" t="str">
        <f>HYPERLINK("http://141.218.60.56/~jnz1568/getInfo.php?workbook=10_02.xlsx&amp;sheet=A0&amp;row=220&amp;col=12&amp;number=&amp;sourceID=47","")</f>
        <v/>
      </c>
    </row>
    <row r="221" spans="1:12">
      <c r="A221" s="3">
        <v>10</v>
      </c>
      <c r="B221" s="3">
        <v>2</v>
      </c>
      <c r="C221" s="3">
        <v>23</v>
      </c>
      <c r="D221" s="3">
        <v>17</v>
      </c>
      <c r="E221" s="3">
        <f>((1/(INDEX(E0!J$4:J$52,C221,1)-INDEX(E0!J$4:J$52,D221,1))))*100000000</f>
        <v>0</v>
      </c>
      <c r="F221" s="4" t="str">
        <f>HYPERLINK("http://141.218.60.56/~jnz1568/getInfo.php?workbook=10_02.xlsx&amp;sheet=A0&amp;row=221&amp;col=6&amp;number=&amp;sourceID=27","")</f>
        <v/>
      </c>
      <c r="G221" s="4" t="str">
        <f>HYPERLINK("http://141.218.60.56/~jnz1568/getInfo.php?workbook=10_02.xlsx&amp;sheet=A0&amp;row=221&amp;col=7&amp;number=12480000&amp;sourceID=32","12480000")</f>
        <v>12480000</v>
      </c>
      <c r="H221" s="4" t="str">
        <f>HYPERLINK("http://141.218.60.56/~jnz1568/getInfo.php?workbook=10_02.xlsx&amp;sheet=A0&amp;row=221&amp;col=8&amp;number=&amp;sourceID=32","")</f>
        <v/>
      </c>
      <c r="I221" s="4" t="str">
        <f>HYPERLINK("http://141.218.60.56/~jnz1568/getInfo.php?workbook=10_02.xlsx&amp;sheet=A0&amp;row=221&amp;col=9&amp;number=&amp;sourceID=32","")</f>
        <v/>
      </c>
      <c r="J221" s="4" t="str">
        <f>HYPERLINK("http://141.218.60.56/~jnz1568/getInfo.php?workbook=10_02.xlsx&amp;sheet=A0&amp;row=221&amp;col=10&amp;number=0.9708&amp;sourceID=32","0.9708")</f>
        <v>0.9708</v>
      </c>
      <c r="K221" s="4" t="str">
        <f>HYPERLINK("http://141.218.60.56/~jnz1568/getInfo.php?workbook=10_02.xlsx&amp;sheet=A0&amp;row=221&amp;col=11&amp;number=8764800&amp;sourceID=46","8764800")</f>
        <v>8764800</v>
      </c>
      <c r="L221" s="4" t="str">
        <f>HYPERLINK("http://141.218.60.56/~jnz1568/getInfo.php?workbook=10_02.xlsx&amp;sheet=A0&amp;row=221&amp;col=12&amp;number=&amp;sourceID=47","")</f>
        <v/>
      </c>
    </row>
    <row r="222" spans="1:12">
      <c r="A222" s="3">
        <v>10</v>
      </c>
      <c r="B222" s="3">
        <v>2</v>
      </c>
      <c r="C222" s="3">
        <v>23</v>
      </c>
      <c r="D222" s="3">
        <v>18</v>
      </c>
      <c r="E222" s="3">
        <f>((1/(INDEX(E0!J$4:J$52,C222,1)-INDEX(E0!J$4:J$52,D222,1))))*100000000</f>
        <v>0</v>
      </c>
      <c r="F222" s="4" t="str">
        <f>HYPERLINK("http://141.218.60.56/~jnz1568/getInfo.php?workbook=10_02.xlsx&amp;sheet=A0&amp;row=222&amp;col=6&amp;number=&amp;sourceID=27","")</f>
        <v/>
      </c>
      <c r="G222" s="4" t="str">
        <f>HYPERLINK("http://141.218.60.56/~jnz1568/getInfo.php?workbook=10_02.xlsx&amp;sheet=A0&amp;row=222&amp;col=7&amp;number=&amp;sourceID=32","")</f>
        <v/>
      </c>
      <c r="H222" s="4" t="str">
        <f>HYPERLINK("http://141.218.60.56/~jnz1568/getInfo.php?workbook=10_02.xlsx&amp;sheet=A0&amp;row=222&amp;col=8&amp;number=0.481&amp;sourceID=32","0.481")</f>
        <v>0.481</v>
      </c>
      <c r="I222" s="4" t="str">
        <f>HYPERLINK("http://141.218.60.56/~jnz1568/getInfo.php?workbook=10_02.xlsx&amp;sheet=A0&amp;row=222&amp;col=9&amp;number=2.273e-05&amp;sourceID=32","2.273e-05")</f>
        <v>2.273e-05</v>
      </c>
      <c r="J222" s="4" t="str">
        <f>HYPERLINK("http://141.218.60.56/~jnz1568/getInfo.php?workbook=10_02.xlsx&amp;sheet=A0&amp;row=222&amp;col=10&amp;number=&amp;sourceID=32","")</f>
        <v/>
      </c>
      <c r="K222" s="4" t="str">
        <f>HYPERLINK("http://141.218.60.56/~jnz1568/getInfo.php?workbook=10_02.xlsx&amp;sheet=A0&amp;row=222&amp;col=11&amp;number=&amp;sourceID=46","")</f>
        <v/>
      </c>
      <c r="L222" s="4" t="str">
        <f>HYPERLINK("http://141.218.60.56/~jnz1568/getInfo.php?workbook=10_02.xlsx&amp;sheet=A0&amp;row=222&amp;col=12&amp;number=&amp;sourceID=47","")</f>
        <v/>
      </c>
    </row>
    <row r="223" spans="1:12">
      <c r="A223" s="3">
        <v>10</v>
      </c>
      <c r="B223" s="3">
        <v>2</v>
      </c>
      <c r="C223" s="3">
        <v>23</v>
      </c>
      <c r="D223" s="3">
        <v>19</v>
      </c>
      <c r="E223" s="3">
        <f>((1/(INDEX(E0!J$4:J$52,C223,1)-INDEX(E0!J$4:J$52,D223,1))))*100000000</f>
        <v>0</v>
      </c>
      <c r="F223" s="4" t="str">
        <f>HYPERLINK("http://141.218.60.56/~jnz1568/getInfo.php?workbook=10_02.xlsx&amp;sheet=A0&amp;row=223&amp;col=6&amp;number=&amp;sourceID=27","")</f>
        <v/>
      </c>
      <c r="G223" s="4" t="str">
        <f>HYPERLINK("http://141.218.60.56/~jnz1568/getInfo.php?workbook=10_02.xlsx&amp;sheet=A0&amp;row=223&amp;col=7&amp;number=297000&amp;sourceID=32","297000")</f>
        <v>297000</v>
      </c>
      <c r="H223" s="4" t="str">
        <f>HYPERLINK("http://141.218.60.56/~jnz1568/getInfo.php?workbook=10_02.xlsx&amp;sheet=A0&amp;row=223&amp;col=8&amp;number=&amp;sourceID=32","")</f>
        <v/>
      </c>
      <c r="I223" s="4" t="str">
        <f>HYPERLINK("http://141.218.60.56/~jnz1568/getInfo.php?workbook=10_02.xlsx&amp;sheet=A0&amp;row=223&amp;col=9&amp;number=&amp;sourceID=32","")</f>
        <v/>
      </c>
      <c r="J223" s="4" t="str">
        <f>HYPERLINK("http://141.218.60.56/~jnz1568/getInfo.php?workbook=10_02.xlsx&amp;sheet=A0&amp;row=223&amp;col=10&amp;number=&amp;sourceID=32","")</f>
        <v/>
      </c>
      <c r="K223" s="4" t="str">
        <f>HYPERLINK("http://141.218.60.56/~jnz1568/getInfo.php?workbook=10_02.xlsx&amp;sheet=A0&amp;row=223&amp;col=11&amp;number=330800&amp;sourceID=46","330800")</f>
        <v>330800</v>
      </c>
      <c r="L223" s="4" t="str">
        <f>HYPERLINK("http://141.218.60.56/~jnz1568/getInfo.php?workbook=10_02.xlsx&amp;sheet=A0&amp;row=223&amp;col=12&amp;number=&amp;sourceID=47","")</f>
        <v/>
      </c>
    </row>
    <row r="224" spans="1:12">
      <c r="A224" s="3">
        <v>10</v>
      </c>
      <c r="B224" s="3">
        <v>2</v>
      </c>
      <c r="C224" s="3">
        <v>23</v>
      </c>
      <c r="D224" s="3">
        <v>20</v>
      </c>
      <c r="E224" s="3">
        <f>((1/(INDEX(E0!J$4:J$52,C224,1)-INDEX(E0!J$4:J$52,D224,1))))*100000000</f>
        <v>0</v>
      </c>
      <c r="F224" s="4" t="str">
        <f>HYPERLINK("http://141.218.60.56/~jnz1568/getInfo.php?workbook=10_02.xlsx&amp;sheet=A0&amp;row=224&amp;col=6&amp;number=&amp;sourceID=27","")</f>
        <v/>
      </c>
      <c r="G224" s="4" t="str">
        <f>HYPERLINK("http://141.218.60.56/~jnz1568/getInfo.php?workbook=10_02.xlsx&amp;sheet=A0&amp;row=224&amp;col=7&amp;number=217000&amp;sourceID=32","217000")</f>
        <v>217000</v>
      </c>
      <c r="H224" s="4" t="str">
        <f>HYPERLINK("http://141.218.60.56/~jnz1568/getInfo.php?workbook=10_02.xlsx&amp;sheet=A0&amp;row=224&amp;col=8&amp;number=&amp;sourceID=32","")</f>
        <v/>
      </c>
      <c r="I224" s="4" t="str">
        <f>HYPERLINK("http://141.218.60.56/~jnz1568/getInfo.php?workbook=10_02.xlsx&amp;sheet=A0&amp;row=224&amp;col=9&amp;number=&amp;sourceID=32","")</f>
        <v/>
      </c>
      <c r="J224" s="4" t="str">
        <f>HYPERLINK("http://141.218.60.56/~jnz1568/getInfo.php?workbook=10_02.xlsx&amp;sheet=A0&amp;row=224&amp;col=10&amp;number=3.226e-09&amp;sourceID=32","3.226e-09")</f>
        <v>3.226e-09</v>
      </c>
      <c r="K224" s="4" t="str">
        <f>HYPERLINK("http://141.218.60.56/~jnz1568/getInfo.php?workbook=10_02.xlsx&amp;sheet=A0&amp;row=224&amp;col=11&amp;number=239930&amp;sourceID=46","239930")</f>
        <v>239930</v>
      </c>
      <c r="L224" s="4" t="str">
        <f>HYPERLINK("http://141.218.60.56/~jnz1568/getInfo.php?workbook=10_02.xlsx&amp;sheet=A0&amp;row=224&amp;col=12&amp;number=&amp;sourceID=47","")</f>
        <v/>
      </c>
    </row>
    <row r="225" spans="1:12">
      <c r="A225" s="3">
        <v>10</v>
      </c>
      <c r="B225" s="3">
        <v>2</v>
      </c>
      <c r="C225" s="3">
        <v>23</v>
      </c>
      <c r="D225" s="3">
        <v>21</v>
      </c>
      <c r="E225" s="3">
        <f>((1/(INDEX(E0!J$4:J$52,C225,1)-INDEX(E0!J$4:J$52,D225,1))))*100000000</f>
        <v>0</v>
      </c>
      <c r="F225" s="4" t="str">
        <f>HYPERLINK("http://141.218.60.56/~jnz1568/getInfo.php?workbook=10_02.xlsx&amp;sheet=A0&amp;row=225&amp;col=6&amp;number=&amp;sourceID=27","")</f>
        <v/>
      </c>
      <c r="G225" s="4" t="str">
        <f>HYPERLINK("http://141.218.60.56/~jnz1568/getInfo.php?workbook=10_02.xlsx&amp;sheet=A0&amp;row=225&amp;col=7&amp;number=&amp;sourceID=32","")</f>
        <v/>
      </c>
      <c r="H225" s="4" t="str">
        <f>HYPERLINK("http://141.218.60.56/~jnz1568/getInfo.php?workbook=10_02.xlsx&amp;sheet=A0&amp;row=225&amp;col=8&amp;number=&amp;sourceID=32","")</f>
        <v/>
      </c>
      <c r="I225" s="4" t="str">
        <f>HYPERLINK("http://141.218.60.56/~jnz1568/getInfo.php?workbook=10_02.xlsx&amp;sheet=A0&amp;row=225&amp;col=9&amp;number=1.095e-09&amp;sourceID=32","1.095e-09")</f>
        <v>1.095e-09</v>
      </c>
      <c r="J225" s="4" t="str">
        <f>HYPERLINK("http://141.218.60.56/~jnz1568/getInfo.php?workbook=10_02.xlsx&amp;sheet=A0&amp;row=225&amp;col=10&amp;number=&amp;sourceID=32","")</f>
        <v/>
      </c>
      <c r="K225" s="4" t="str">
        <f>HYPERLINK("http://141.218.60.56/~jnz1568/getInfo.php?workbook=10_02.xlsx&amp;sheet=A0&amp;row=225&amp;col=11&amp;number=&amp;sourceID=46","")</f>
        <v/>
      </c>
      <c r="L225" s="4" t="str">
        <f>HYPERLINK("http://141.218.60.56/~jnz1568/getInfo.php?workbook=10_02.xlsx&amp;sheet=A0&amp;row=225&amp;col=12&amp;number=&amp;sourceID=47","")</f>
        <v/>
      </c>
    </row>
    <row r="226" spans="1:12">
      <c r="A226" s="3">
        <v>10</v>
      </c>
      <c r="B226" s="3">
        <v>2</v>
      </c>
      <c r="C226" s="3">
        <v>23</v>
      </c>
      <c r="D226" s="3">
        <v>22</v>
      </c>
      <c r="E226" s="3">
        <f>((1/(INDEX(E0!J$4:J$52,C226,1)-INDEX(E0!J$4:J$52,D226,1))))*100000000</f>
        <v>0</v>
      </c>
      <c r="F226" s="4" t="str">
        <f>HYPERLINK("http://141.218.60.56/~jnz1568/getInfo.php?workbook=10_02.xlsx&amp;sheet=A0&amp;row=226&amp;col=6&amp;number=&amp;sourceID=27","")</f>
        <v/>
      </c>
      <c r="G226" s="4" t="str">
        <f>HYPERLINK("http://141.218.60.56/~jnz1568/getInfo.php?workbook=10_02.xlsx&amp;sheet=A0&amp;row=226&amp;col=7&amp;number=12760&amp;sourceID=32","12760")</f>
        <v>12760</v>
      </c>
      <c r="H226" s="4" t="str">
        <f>HYPERLINK("http://141.218.60.56/~jnz1568/getInfo.php?workbook=10_02.xlsx&amp;sheet=A0&amp;row=226&amp;col=8&amp;number=&amp;sourceID=32","")</f>
        <v/>
      </c>
      <c r="I226" s="4" t="str">
        <f>HYPERLINK("http://141.218.60.56/~jnz1568/getInfo.php?workbook=10_02.xlsx&amp;sheet=A0&amp;row=226&amp;col=9&amp;number=&amp;sourceID=32","")</f>
        <v/>
      </c>
      <c r="J226" s="4" t="str">
        <f>HYPERLINK("http://141.218.60.56/~jnz1568/getInfo.php?workbook=10_02.xlsx&amp;sheet=A0&amp;row=226&amp;col=10&amp;number=7e-15&amp;sourceID=32","7e-15")</f>
        <v>7e-15</v>
      </c>
      <c r="K226" s="4" t="str">
        <f>HYPERLINK("http://141.218.60.56/~jnz1568/getInfo.php?workbook=10_02.xlsx&amp;sheet=A0&amp;row=226&amp;col=11&amp;number=13963&amp;sourceID=46","13963")</f>
        <v>13963</v>
      </c>
      <c r="L226" s="4" t="str">
        <f>HYPERLINK("http://141.218.60.56/~jnz1568/getInfo.php?workbook=10_02.xlsx&amp;sheet=A0&amp;row=226&amp;col=12&amp;number=&amp;sourceID=47","")</f>
        <v/>
      </c>
    </row>
    <row r="227" spans="1:12">
      <c r="A227" s="3">
        <v>10</v>
      </c>
      <c r="B227" s="3">
        <v>2</v>
      </c>
      <c r="C227" s="3">
        <v>24</v>
      </c>
      <c r="D227" s="3">
        <v>1</v>
      </c>
      <c r="E227" s="3">
        <f>((1/(INDEX(E0!J$4:J$52,C227,1)-INDEX(E0!J$4:J$52,D227,1))))*100000000</f>
        <v>0</v>
      </c>
      <c r="F227" s="4" t="str">
        <f>HYPERLINK("http://141.218.60.56/~jnz1568/getInfo.php?workbook=10_02.xlsx&amp;sheet=A0&amp;row=227&amp;col=6&amp;number=&amp;sourceID=27","")</f>
        <v/>
      </c>
      <c r="G227" s="4" t="str">
        <f>HYPERLINK("http://141.218.60.56/~jnz1568/getInfo.php?workbook=10_02.xlsx&amp;sheet=A0&amp;row=227&amp;col=7&amp;number=&amp;sourceID=32","")</f>
        <v/>
      </c>
      <c r="H227" s="4" t="str">
        <f>HYPERLINK("http://141.218.60.56/~jnz1568/getInfo.php?workbook=10_02.xlsx&amp;sheet=A0&amp;row=227&amp;col=8&amp;number=10080000&amp;sourceID=32","10080000")</f>
        <v>10080000</v>
      </c>
      <c r="I227" s="4" t="str">
        <f>HYPERLINK("http://141.218.60.56/~jnz1568/getInfo.php?workbook=10_02.xlsx&amp;sheet=A0&amp;row=227&amp;col=9&amp;number=&amp;sourceID=32","")</f>
        <v/>
      </c>
      <c r="J227" s="4" t="str">
        <f>HYPERLINK("http://141.218.60.56/~jnz1568/getInfo.php?workbook=10_02.xlsx&amp;sheet=A0&amp;row=227&amp;col=10&amp;number=&amp;sourceID=32","")</f>
        <v/>
      </c>
      <c r="K227" s="4" t="str">
        <f>HYPERLINK("http://141.218.60.56/~jnz1568/getInfo.php?workbook=10_02.xlsx&amp;sheet=A0&amp;row=227&amp;col=11&amp;number=6398500&amp;sourceID=46","6398500")</f>
        <v>6398500</v>
      </c>
      <c r="L227" s="4" t="str">
        <f>HYPERLINK("http://141.218.60.56/~jnz1568/getInfo.php?workbook=10_02.xlsx&amp;sheet=A0&amp;row=227&amp;col=12&amp;number=&amp;sourceID=47","")</f>
        <v/>
      </c>
    </row>
    <row r="228" spans="1:12">
      <c r="A228" s="3">
        <v>10</v>
      </c>
      <c r="B228" s="3">
        <v>2</v>
      </c>
      <c r="C228" s="3">
        <v>24</v>
      </c>
      <c r="D228" s="3">
        <v>2</v>
      </c>
      <c r="E228" s="3">
        <f>((1/(INDEX(E0!J$4:J$52,C228,1)-INDEX(E0!J$4:J$52,D228,1))))*100000000</f>
        <v>0</v>
      </c>
      <c r="F228" s="4" t="str">
        <f>HYPERLINK("http://141.218.60.56/~jnz1568/getInfo.php?workbook=10_02.xlsx&amp;sheet=A0&amp;row=228&amp;col=6&amp;number=&amp;sourceID=27","")</f>
        <v/>
      </c>
      <c r="G228" s="4" t="str">
        <f>HYPERLINK("http://141.218.60.56/~jnz1568/getInfo.php?workbook=10_02.xlsx&amp;sheet=A0&amp;row=228&amp;col=7&amp;number=&amp;sourceID=32","")</f>
        <v/>
      </c>
      <c r="H228" s="4" t="str">
        <f>HYPERLINK("http://141.218.60.56/~jnz1568/getInfo.php?workbook=10_02.xlsx&amp;sheet=A0&amp;row=228&amp;col=8&amp;number=4969000&amp;sourceID=32","4969000")</f>
        <v>4969000</v>
      </c>
      <c r="I228" s="4" t="str">
        <f>HYPERLINK("http://141.218.60.56/~jnz1568/getInfo.php?workbook=10_02.xlsx&amp;sheet=A0&amp;row=228&amp;col=9&amp;number=0.1923&amp;sourceID=32","0.1923")</f>
        <v>0.1923</v>
      </c>
      <c r="J228" s="4" t="str">
        <f>HYPERLINK("http://141.218.60.56/~jnz1568/getInfo.php?workbook=10_02.xlsx&amp;sheet=A0&amp;row=228&amp;col=10&amp;number=&amp;sourceID=32","")</f>
        <v/>
      </c>
      <c r="K228" s="4" t="str">
        <f>HYPERLINK("http://141.218.60.56/~jnz1568/getInfo.php?workbook=10_02.xlsx&amp;sheet=A0&amp;row=228&amp;col=11&amp;number=4822300&amp;sourceID=46","4822300")</f>
        <v>4822300</v>
      </c>
      <c r="L228" s="4" t="str">
        <f>HYPERLINK("http://141.218.60.56/~jnz1568/getInfo.php?workbook=10_02.xlsx&amp;sheet=A0&amp;row=228&amp;col=12&amp;number=&amp;sourceID=47","")</f>
        <v/>
      </c>
    </row>
    <row r="229" spans="1:12">
      <c r="A229" s="3">
        <v>10</v>
      </c>
      <c r="B229" s="3">
        <v>2</v>
      </c>
      <c r="C229" s="3">
        <v>24</v>
      </c>
      <c r="D229" s="3">
        <v>3</v>
      </c>
      <c r="E229" s="3">
        <f>((1/(INDEX(E0!J$4:J$52,C229,1)-INDEX(E0!J$4:J$52,D229,1))))*100000000</f>
        <v>0</v>
      </c>
      <c r="F229" s="4" t="str">
        <f>HYPERLINK("http://141.218.60.56/~jnz1568/getInfo.php?workbook=10_02.xlsx&amp;sheet=A0&amp;row=229&amp;col=6&amp;number=&amp;sourceID=27","")</f>
        <v/>
      </c>
      <c r="G229" s="4" t="str">
        <f>HYPERLINK("http://141.218.60.56/~jnz1568/getInfo.php?workbook=10_02.xlsx&amp;sheet=A0&amp;row=229&amp;col=7&amp;number=&amp;sourceID=32","")</f>
        <v/>
      </c>
      <c r="H229" s="4" t="str">
        <f>HYPERLINK("http://141.218.60.56/~jnz1568/getInfo.php?workbook=10_02.xlsx&amp;sheet=A0&amp;row=229&amp;col=8&amp;number=&amp;sourceID=32","")</f>
        <v/>
      </c>
      <c r="I229" s="4" t="str">
        <f>HYPERLINK("http://141.218.60.56/~jnz1568/getInfo.php?workbook=10_02.xlsx&amp;sheet=A0&amp;row=229&amp;col=9&amp;number=&amp;sourceID=32","")</f>
        <v/>
      </c>
      <c r="J229" s="4" t="str">
        <f>HYPERLINK("http://141.218.60.56/~jnz1568/getInfo.php?workbook=10_02.xlsx&amp;sheet=A0&amp;row=229&amp;col=10&amp;number=33.84&amp;sourceID=32","33.84")</f>
        <v>33.84</v>
      </c>
      <c r="K229" s="4" t="str">
        <f>HYPERLINK("http://141.218.60.56/~jnz1568/getInfo.php?workbook=10_02.xlsx&amp;sheet=A0&amp;row=229&amp;col=11&amp;number=46.109&amp;sourceID=46","46.109")</f>
        <v>46.109</v>
      </c>
      <c r="L229" s="4" t="str">
        <f>HYPERLINK("http://141.218.60.56/~jnz1568/getInfo.php?workbook=10_02.xlsx&amp;sheet=A0&amp;row=229&amp;col=12&amp;number=&amp;sourceID=47","")</f>
        <v/>
      </c>
    </row>
    <row r="230" spans="1:12">
      <c r="A230" s="3">
        <v>10</v>
      </c>
      <c r="B230" s="3">
        <v>2</v>
      </c>
      <c r="C230" s="3">
        <v>24</v>
      </c>
      <c r="D230" s="3">
        <v>4</v>
      </c>
      <c r="E230" s="3">
        <f>((1/(INDEX(E0!J$4:J$52,C230,1)-INDEX(E0!J$4:J$52,D230,1))))*100000000</f>
        <v>0</v>
      </c>
      <c r="F230" s="4" t="str">
        <f>HYPERLINK("http://141.218.60.56/~jnz1568/getInfo.php?workbook=10_02.xlsx&amp;sheet=A0&amp;row=230&amp;col=6&amp;number=&amp;sourceID=27","")</f>
        <v/>
      </c>
      <c r="G230" s="4" t="str">
        <f>HYPERLINK("http://141.218.60.56/~jnz1568/getInfo.php?workbook=10_02.xlsx&amp;sheet=A0&amp;row=230&amp;col=7&amp;number=105600000000&amp;sourceID=32","105600000000")</f>
        <v>105600000000</v>
      </c>
      <c r="H230" s="4" t="str">
        <f>HYPERLINK("http://141.218.60.56/~jnz1568/getInfo.php?workbook=10_02.xlsx&amp;sheet=A0&amp;row=230&amp;col=8&amp;number=&amp;sourceID=32","")</f>
        <v/>
      </c>
      <c r="I230" s="4" t="str">
        <f>HYPERLINK("http://141.218.60.56/~jnz1568/getInfo.php?workbook=10_02.xlsx&amp;sheet=A0&amp;row=230&amp;col=9&amp;number=&amp;sourceID=32","")</f>
        <v/>
      </c>
      <c r="J230" s="4" t="str">
        <f>HYPERLINK("http://141.218.60.56/~jnz1568/getInfo.php?workbook=10_02.xlsx&amp;sheet=A0&amp;row=230&amp;col=10&amp;number=1117&amp;sourceID=32","1117")</f>
        <v>1117</v>
      </c>
      <c r="K230" s="4" t="str">
        <f>HYPERLINK("http://141.218.60.56/~jnz1568/getInfo.php?workbook=10_02.xlsx&amp;sheet=A0&amp;row=230&amp;col=11&amp;number=106780000000&amp;sourceID=46","106780000000")</f>
        <v>106780000000</v>
      </c>
      <c r="L230" s="4" t="str">
        <f>HYPERLINK("http://141.218.60.56/~jnz1568/getInfo.php?workbook=10_02.xlsx&amp;sheet=A0&amp;row=230&amp;col=12&amp;number=&amp;sourceID=47","")</f>
        <v/>
      </c>
    </row>
    <row r="231" spans="1:12">
      <c r="A231" s="3">
        <v>10</v>
      </c>
      <c r="B231" s="3">
        <v>2</v>
      </c>
      <c r="C231" s="3">
        <v>24</v>
      </c>
      <c r="D231" s="3">
        <v>5</v>
      </c>
      <c r="E231" s="3">
        <f>((1/(INDEX(E0!J$4:J$52,C231,1)-INDEX(E0!J$4:J$52,D231,1))))*100000000</f>
        <v>0</v>
      </c>
      <c r="F231" s="4" t="str">
        <f>HYPERLINK("http://141.218.60.56/~jnz1568/getInfo.php?workbook=10_02.xlsx&amp;sheet=A0&amp;row=231&amp;col=6&amp;number=&amp;sourceID=27","")</f>
        <v/>
      </c>
      <c r="G231" s="4" t="str">
        <f>HYPERLINK("http://141.218.60.56/~jnz1568/getInfo.php?workbook=10_02.xlsx&amp;sheet=A0&amp;row=231&amp;col=7&amp;number=34830000000&amp;sourceID=32","34830000000")</f>
        <v>34830000000</v>
      </c>
      <c r="H231" s="4" t="str">
        <f>HYPERLINK("http://141.218.60.56/~jnz1568/getInfo.php?workbook=10_02.xlsx&amp;sheet=A0&amp;row=231&amp;col=8&amp;number=&amp;sourceID=32","")</f>
        <v/>
      </c>
      <c r="I231" s="4" t="str">
        <f>HYPERLINK("http://141.218.60.56/~jnz1568/getInfo.php?workbook=10_02.xlsx&amp;sheet=A0&amp;row=231&amp;col=9&amp;number=&amp;sourceID=32","")</f>
        <v/>
      </c>
      <c r="J231" s="4" t="str">
        <f>HYPERLINK("http://141.218.60.56/~jnz1568/getInfo.php?workbook=10_02.xlsx&amp;sheet=A0&amp;row=231&amp;col=10&amp;number=439.7&amp;sourceID=32","439.7")</f>
        <v>439.7</v>
      </c>
      <c r="K231" s="4" t="str">
        <f>HYPERLINK("http://141.218.60.56/~jnz1568/getInfo.php?workbook=10_02.xlsx&amp;sheet=A0&amp;row=231&amp;col=11&amp;number=35239000000&amp;sourceID=46","35239000000")</f>
        <v>35239000000</v>
      </c>
      <c r="L231" s="4" t="str">
        <f>HYPERLINK("http://141.218.60.56/~jnz1568/getInfo.php?workbook=10_02.xlsx&amp;sheet=A0&amp;row=231&amp;col=12&amp;number=&amp;sourceID=47","")</f>
        <v/>
      </c>
    </row>
    <row r="232" spans="1:12">
      <c r="A232" s="3">
        <v>10</v>
      </c>
      <c r="B232" s="3">
        <v>2</v>
      </c>
      <c r="C232" s="3">
        <v>24</v>
      </c>
      <c r="D232" s="3">
        <v>6</v>
      </c>
      <c r="E232" s="3">
        <f>((1/(INDEX(E0!J$4:J$52,C232,1)-INDEX(E0!J$4:J$52,D232,1))))*100000000</f>
        <v>0</v>
      </c>
      <c r="F232" s="4" t="str">
        <f>HYPERLINK("http://141.218.60.56/~jnz1568/getInfo.php?workbook=10_02.xlsx&amp;sheet=A0&amp;row=232&amp;col=6&amp;number=&amp;sourceID=27","")</f>
        <v/>
      </c>
      <c r="G232" s="4" t="str">
        <f>HYPERLINK("http://141.218.60.56/~jnz1568/getInfo.php?workbook=10_02.xlsx&amp;sheet=A0&amp;row=232&amp;col=7&amp;number=&amp;sourceID=32","")</f>
        <v/>
      </c>
      <c r="H232" s="4" t="str">
        <f>HYPERLINK("http://141.218.60.56/~jnz1568/getInfo.php?workbook=10_02.xlsx&amp;sheet=A0&amp;row=232&amp;col=8&amp;number=94090&amp;sourceID=32","94090")</f>
        <v>94090</v>
      </c>
      <c r="I232" s="4" t="str">
        <f>HYPERLINK("http://141.218.60.56/~jnz1568/getInfo.php?workbook=10_02.xlsx&amp;sheet=A0&amp;row=232&amp;col=9&amp;number=&amp;sourceID=32","")</f>
        <v/>
      </c>
      <c r="J232" s="4" t="str">
        <f>HYPERLINK("http://141.218.60.56/~jnz1568/getInfo.php?workbook=10_02.xlsx&amp;sheet=A0&amp;row=232&amp;col=10&amp;number=&amp;sourceID=32","")</f>
        <v/>
      </c>
      <c r="K232" s="4" t="str">
        <f>HYPERLINK("http://141.218.60.56/~jnz1568/getInfo.php?workbook=10_02.xlsx&amp;sheet=A0&amp;row=232&amp;col=11&amp;number=61561&amp;sourceID=46","61561")</f>
        <v>61561</v>
      </c>
      <c r="L232" s="4" t="str">
        <f>HYPERLINK("http://141.218.60.56/~jnz1568/getInfo.php?workbook=10_02.xlsx&amp;sheet=A0&amp;row=232&amp;col=12&amp;number=&amp;sourceID=47","")</f>
        <v/>
      </c>
    </row>
    <row r="233" spans="1:12">
      <c r="A233" s="3">
        <v>10</v>
      </c>
      <c r="B233" s="3">
        <v>2</v>
      </c>
      <c r="C233" s="3">
        <v>24</v>
      </c>
      <c r="D233" s="3">
        <v>7</v>
      </c>
      <c r="E233" s="3">
        <f>((1/(INDEX(E0!J$4:J$52,C233,1)-INDEX(E0!J$4:J$52,D233,1))))*100000000</f>
        <v>0</v>
      </c>
      <c r="F233" s="4" t="str">
        <f>HYPERLINK("http://141.218.60.56/~jnz1568/getInfo.php?workbook=10_02.xlsx&amp;sheet=A0&amp;row=233&amp;col=6&amp;number=&amp;sourceID=27","")</f>
        <v/>
      </c>
      <c r="G233" s="4" t="str">
        <f>HYPERLINK("http://141.218.60.56/~jnz1568/getInfo.php?workbook=10_02.xlsx&amp;sheet=A0&amp;row=233&amp;col=7&amp;number=2801000000&amp;sourceID=32","2801000000")</f>
        <v>2801000000</v>
      </c>
      <c r="H233" s="4" t="str">
        <f>HYPERLINK("http://141.218.60.56/~jnz1568/getInfo.php?workbook=10_02.xlsx&amp;sheet=A0&amp;row=233&amp;col=8&amp;number=&amp;sourceID=32","")</f>
        <v/>
      </c>
      <c r="I233" s="4" t="str">
        <f>HYPERLINK("http://141.218.60.56/~jnz1568/getInfo.php?workbook=10_02.xlsx&amp;sheet=A0&amp;row=233&amp;col=9&amp;number=&amp;sourceID=32","")</f>
        <v/>
      </c>
      <c r="J233" s="4" t="str">
        <f>HYPERLINK("http://141.218.60.56/~jnz1568/getInfo.php?workbook=10_02.xlsx&amp;sheet=A0&amp;row=233&amp;col=10&amp;number=225.3&amp;sourceID=32","225.3")</f>
        <v>225.3</v>
      </c>
      <c r="K233" s="4" t="str">
        <f>HYPERLINK("http://141.218.60.56/~jnz1568/getInfo.php?workbook=10_02.xlsx&amp;sheet=A0&amp;row=233&amp;col=11&amp;number=1765600000&amp;sourceID=46","1765600000")</f>
        <v>1765600000</v>
      </c>
      <c r="L233" s="4" t="str">
        <f>HYPERLINK("http://141.218.60.56/~jnz1568/getInfo.php?workbook=10_02.xlsx&amp;sheet=A0&amp;row=233&amp;col=12&amp;number=&amp;sourceID=47","")</f>
        <v/>
      </c>
    </row>
    <row r="234" spans="1:12">
      <c r="A234" s="3">
        <v>10</v>
      </c>
      <c r="B234" s="3">
        <v>2</v>
      </c>
      <c r="C234" s="3">
        <v>24</v>
      </c>
      <c r="D234" s="3">
        <v>8</v>
      </c>
      <c r="E234" s="3">
        <f>((1/(INDEX(E0!J$4:J$52,C234,1)-INDEX(E0!J$4:J$52,D234,1))))*100000000</f>
        <v>0</v>
      </c>
      <c r="F234" s="4" t="str">
        <f>HYPERLINK("http://141.218.60.56/~jnz1568/getInfo.php?workbook=10_02.xlsx&amp;sheet=A0&amp;row=234&amp;col=6&amp;number=&amp;sourceID=27","")</f>
        <v/>
      </c>
      <c r="G234" s="4" t="str">
        <f>HYPERLINK("http://141.218.60.56/~jnz1568/getInfo.php?workbook=10_02.xlsx&amp;sheet=A0&amp;row=234&amp;col=7&amp;number=&amp;sourceID=32","")</f>
        <v/>
      </c>
      <c r="H234" s="4" t="str">
        <f>HYPERLINK("http://141.218.60.56/~jnz1568/getInfo.php?workbook=10_02.xlsx&amp;sheet=A0&amp;row=234&amp;col=8&amp;number=2287000&amp;sourceID=32","2287000")</f>
        <v>2287000</v>
      </c>
      <c r="I234" s="4" t="str">
        <f>HYPERLINK("http://141.218.60.56/~jnz1568/getInfo.php?workbook=10_02.xlsx&amp;sheet=A0&amp;row=234&amp;col=9&amp;number=0.0003998&amp;sourceID=32","0.0003998")</f>
        <v>0.0003998</v>
      </c>
      <c r="J234" s="4" t="str">
        <f>HYPERLINK("http://141.218.60.56/~jnz1568/getInfo.php?workbook=10_02.xlsx&amp;sheet=A0&amp;row=234&amp;col=10&amp;number=&amp;sourceID=32","")</f>
        <v/>
      </c>
      <c r="K234" s="4" t="str">
        <f>HYPERLINK("http://141.218.60.56/~jnz1568/getInfo.php?workbook=10_02.xlsx&amp;sheet=A0&amp;row=234&amp;col=11&amp;number=2308000&amp;sourceID=46","2308000")</f>
        <v>2308000</v>
      </c>
      <c r="L234" s="4" t="str">
        <f>HYPERLINK("http://141.218.60.56/~jnz1568/getInfo.php?workbook=10_02.xlsx&amp;sheet=A0&amp;row=234&amp;col=12&amp;number=&amp;sourceID=47","")</f>
        <v/>
      </c>
    </row>
    <row r="235" spans="1:12">
      <c r="A235" s="3">
        <v>10</v>
      </c>
      <c r="B235" s="3">
        <v>2</v>
      </c>
      <c r="C235" s="3">
        <v>24</v>
      </c>
      <c r="D235" s="3">
        <v>9</v>
      </c>
      <c r="E235" s="3">
        <f>((1/(INDEX(E0!J$4:J$52,C235,1)-INDEX(E0!J$4:J$52,D235,1))))*100000000</f>
        <v>0</v>
      </c>
      <c r="F235" s="4" t="str">
        <f>HYPERLINK("http://141.218.60.56/~jnz1568/getInfo.php?workbook=10_02.xlsx&amp;sheet=A0&amp;row=235&amp;col=6&amp;number=&amp;sourceID=27","")</f>
        <v/>
      </c>
      <c r="G235" s="4" t="str">
        <f>HYPERLINK("http://141.218.60.56/~jnz1568/getInfo.php?workbook=10_02.xlsx&amp;sheet=A0&amp;row=235&amp;col=7&amp;number=&amp;sourceID=32","")</f>
        <v/>
      </c>
      <c r="H235" s="4" t="str">
        <f>HYPERLINK("http://141.218.60.56/~jnz1568/getInfo.php?workbook=10_02.xlsx&amp;sheet=A0&amp;row=235&amp;col=8&amp;number=&amp;sourceID=32","")</f>
        <v/>
      </c>
      <c r="I235" s="4" t="str">
        <f>HYPERLINK("http://141.218.60.56/~jnz1568/getInfo.php?workbook=10_02.xlsx&amp;sheet=A0&amp;row=235&amp;col=9&amp;number=&amp;sourceID=32","")</f>
        <v/>
      </c>
      <c r="J235" s="4" t="str">
        <f>HYPERLINK("http://141.218.60.56/~jnz1568/getInfo.php?workbook=10_02.xlsx&amp;sheet=A0&amp;row=235&amp;col=10&amp;number=0.7392&amp;sourceID=32","0.7392")</f>
        <v>0.7392</v>
      </c>
      <c r="K235" s="4" t="str">
        <f>HYPERLINK("http://141.218.60.56/~jnz1568/getInfo.php?workbook=10_02.xlsx&amp;sheet=A0&amp;row=235&amp;col=11&amp;number=&amp;sourceID=46","")</f>
        <v/>
      </c>
      <c r="L235" s="4" t="str">
        <f>HYPERLINK("http://141.218.60.56/~jnz1568/getInfo.php?workbook=10_02.xlsx&amp;sheet=A0&amp;row=235&amp;col=12&amp;number=&amp;sourceID=47","")</f>
        <v/>
      </c>
    </row>
    <row r="236" spans="1:12">
      <c r="A236" s="3">
        <v>10</v>
      </c>
      <c r="B236" s="3">
        <v>2</v>
      </c>
      <c r="C236" s="3">
        <v>24</v>
      </c>
      <c r="D236" s="3">
        <v>10</v>
      </c>
      <c r="E236" s="3">
        <f>((1/(INDEX(E0!J$4:J$52,C236,1)-INDEX(E0!J$4:J$52,D236,1))))*100000000</f>
        <v>0</v>
      </c>
      <c r="F236" s="4" t="str">
        <f>HYPERLINK("http://141.218.60.56/~jnz1568/getInfo.php?workbook=10_02.xlsx&amp;sheet=A0&amp;row=236&amp;col=6&amp;number=&amp;sourceID=27","")</f>
        <v/>
      </c>
      <c r="G236" s="4" t="str">
        <f>HYPERLINK("http://141.218.60.56/~jnz1568/getInfo.php?workbook=10_02.xlsx&amp;sheet=A0&amp;row=236&amp;col=7&amp;number=33640000000&amp;sourceID=32","33640000000")</f>
        <v>33640000000</v>
      </c>
      <c r="H236" s="4" t="str">
        <f>HYPERLINK("http://141.218.60.56/~jnz1568/getInfo.php?workbook=10_02.xlsx&amp;sheet=A0&amp;row=236&amp;col=8&amp;number=&amp;sourceID=32","")</f>
        <v/>
      </c>
      <c r="I236" s="4" t="str">
        <f>HYPERLINK("http://141.218.60.56/~jnz1568/getInfo.php?workbook=10_02.xlsx&amp;sheet=A0&amp;row=236&amp;col=9&amp;number=&amp;sourceID=32","")</f>
        <v/>
      </c>
      <c r="J236" s="4" t="str">
        <f>HYPERLINK("http://141.218.60.56/~jnz1568/getInfo.php?workbook=10_02.xlsx&amp;sheet=A0&amp;row=236&amp;col=10&amp;number=24&amp;sourceID=32","24")</f>
        <v>24</v>
      </c>
      <c r="K236" s="4" t="str">
        <f>HYPERLINK("http://141.218.60.56/~jnz1568/getInfo.php?workbook=10_02.xlsx&amp;sheet=A0&amp;row=236&amp;col=11&amp;number=33846000000&amp;sourceID=46","33846000000")</f>
        <v>33846000000</v>
      </c>
      <c r="L236" s="4" t="str">
        <f>HYPERLINK("http://141.218.60.56/~jnz1568/getInfo.php?workbook=10_02.xlsx&amp;sheet=A0&amp;row=236&amp;col=12&amp;number=&amp;sourceID=47","")</f>
        <v/>
      </c>
    </row>
    <row r="237" spans="1:12">
      <c r="A237" s="3">
        <v>10</v>
      </c>
      <c r="B237" s="3">
        <v>2</v>
      </c>
      <c r="C237" s="3">
        <v>24</v>
      </c>
      <c r="D237" s="3">
        <v>11</v>
      </c>
      <c r="E237" s="3">
        <f>((1/(INDEX(E0!J$4:J$52,C237,1)-INDEX(E0!J$4:J$52,D237,1))))*100000000</f>
        <v>0</v>
      </c>
      <c r="F237" s="4" t="str">
        <f>HYPERLINK("http://141.218.60.56/~jnz1568/getInfo.php?workbook=10_02.xlsx&amp;sheet=A0&amp;row=237&amp;col=6&amp;number=&amp;sourceID=27","")</f>
        <v/>
      </c>
      <c r="G237" s="4" t="str">
        <f>HYPERLINK("http://141.218.60.56/~jnz1568/getInfo.php?workbook=10_02.xlsx&amp;sheet=A0&amp;row=237&amp;col=7&amp;number=&amp;sourceID=32","")</f>
        <v/>
      </c>
      <c r="H237" s="4" t="str">
        <f>HYPERLINK("http://141.218.60.56/~jnz1568/getInfo.php?workbook=10_02.xlsx&amp;sheet=A0&amp;row=237&amp;col=8&amp;number=59090&amp;sourceID=32","59090")</f>
        <v>59090</v>
      </c>
      <c r="I237" s="4" t="str">
        <f>HYPERLINK("http://141.218.60.56/~jnz1568/getInfo.php?workbook=10_02.xlsx&amp;sheet=A0&amp;row=237&amp;col=9&amp;number=&amp;sourceID=32","")</f>
        <v/>
      </c>
      <c r="J237" s="4" t="str">
        <f>HYPERLINK("http://141.218.60.56/~jnz1568/getInfo.php?workbook=10_02.xlsx&amp;sheet=A0&amp;row=237&amp;col=10&amp;number=&amp;sourceID=32","")</f>
        <v/>
      </c>
      <c r="K237" s="4" t="str">
        <f>HYPERLINK("http://141.218.60.56/~jnz1568/getInfo.php?workbook=10_02.xlsx&amp;sheet=A0&amp;row=237&amp;col=11&amp;number=37163&amp;sourceID=46","37163")</f>
        <v>37163</v>
      </c>
      <c r="L237" s="4" t="str">
        <f>HYPERLINK("http://141.218.60.56/~jnz1568/getInfo.php?workbook=10_02.xlsx&amp;sheet=A0&amp;row=237&amp;col=12&amp;number=&amp;sourceID=47","")</f>
        <v/>
      </c>
    </row>
    <row r="238" spans="1:12">
      <c r="A238" s="3">
        <v>10</v>
      </c>
      <c r="B238" s="3">
        <v>2</v>
      </c>
      <c r="C238" s="3">
        <v>24</v>
      </c>
      <c r="D238" s="3">
        <v>12</v>
      </c>
      <c r="E238" s="3">
        <f>((1/(INDEX(E0!J$4:J$52,C238,1)-INDEX(E0!J$4:J$52,D238,1))))*100000000</f>
        <v>0</v>
      </c>
      <c r="F238" s="4" t="str">
        <f>HYPERLINK("http://141.218.60.56/~jnz1568/getInfo.php?workbook=10_02.xlsx&amp;sheet=A0&amp;row=238&amp;col=6&amp;number=&amp;sourceID=27","")</f>
        <v/>
      </c>
      <c r="G238" s="4" t="str">
        <f>HYPERLINK("http://141.218.60.56/~jnz1568/getInfo.php?workbook=10_02.xlsx&amp;sheet=A0&amp;row=238&amp;col=7&amp;number=11120000000&amp;sourceID=32","11120000000")</f>
        <v>11120000000</v>
      </c>
      <c r="H238" s="4" t="str">
        <f>HYPERLINK("http://141.218.60.56/~jnz1568/getInfo.php?workbook=10_02.xlsx&amp;sheet=A0&amp;row=238&amp;col=8&amp;number=&amp;sourceID=32","")</f>
        <v/>
      </c>
      <c r="I238" s="4" t="str">
        <f>HYPERLINK("http://141.218.60.56/~jnz1568/getInfo.php?workbook=10_02.xlsx&amp;sheet=A0&amp;row=238&amp;col=9&amp;number=&amp;sourceID=32","")</f>
        <v/>
      </c>
      <c r="J238" s="4" t="str">
        <f>HYPERLINK("http://141.218.60.56/~jnz1568/getInfo.php?workbook=10_02.xlsx&amp;sheet=A0&amp;row=238&amp;col=10&amp;number=9.464&amp;sourceID=32","9.464")</f>
        <v>9.464</v>
      </c>
      <c r="K238" s="4" t="str">
        <f>HYPERLINK("http://141.218.60.56/~jnz1568/getInfo.php?workbook=10_02.xlsx&amp;sheet=A0&amp;row=238&amp;col=11&amp;number=11215000000&amp;sourceID=46","11215000000")</f>
        <v>11215000000</v>
      </c>
      <c r="L238" s="4" t="str">
        <f>HYPERLINK("http://141.218.60.56/~jnz1568/getInfo.php?workbook=10_02.xlsx&amp;sheet=A0&amp;row=238&amp;col=12&amp;number=&amp;sourceID=47","")</f>
        <v/>
      </c>
    </row>
    <row r="239" spans="1:12">
      <c r="A239" s="3">
        <v>10</v>
      </c>
      <c r="B239" s="3">
        <v>2</v>
      </c>
      <c r="C239" s="3">
        <v>24</v>
      </c>
      <c r="D239" s="3">
        <v>13</v>
      </c>
      <c r="E239" s="3">
        <f>((1/(INDEX(E0!J$4:J$52,C239,1)-INDEX(E0!J$4:J$52,D239,1))))*100000000</f>
        <v>0</v>
      </c>
      <c r="F239" s="4" t="str">
        <f>HYPERLINK("http://141.218.60.56/~jnz1568/getInfo.php?workbook=10_02.xlsx&amp;sheet=A0&amp;row=239&amp;col=6&amp;number=&amp;sourceID=27","")</f>
        <v/>
      </c>
      <c r="G239" s="4" t="str">
        <f>HYPERLINK("http://141.218.60.56/~jnz1568/getInfo.php?workbook=10_02.xlsx&amp;sheet=A0&amp;row=239&amp;col=7&amp;number=&amp;sourceID=32","")</f>
        <v/>
      </c>
      <c r="H239" s="4" t="str">
        <f>HYPERLINK("http://141.218.60.56/~jnz1568/getInfo.php?workbook=10_02.xlsx&amp;sheet=A0&amp;row=239&amp;col=8&amp;number=215800&amp;sourceID=32","215800")</f>
        <v>215800</v>
      </c>
      <c r="I239" s="4" t="str">
        <f>HYPERLINK("http://141.218.60.56/~jnz1568/getInfo.php?workbook=10_02.xlsx&amp;sheet=A0&amp;row=239&amp;col=9&amp;number=0.009312&amp;sourceID=32","0.009312")</f>
        <v>0.009312</v>
      </c>
      <c r="J239" s="4" t="str">
        <f>HYPERLINK("http://141.218.60.56/~jnz1568/getInfo.php?workbook=10_02.xlsx&amp;sheet=A0&amp;row=239&amp;col=10&amp;number=&amp;sourceID=32","")</f>
        <v/>
      </c>
      <c r="K239" s="4" t="str">
        <f>HYPERLINK("http://141.218.60.56/~jnz1568/getInfo.php?workbook=10_02.xlsx&amp;sheet=A0&amp;row=239&amp;col=11&amp;number=218020&amp;sourceID=46","218020")</f>
        <v>218020</v>
      </c>
      <c r="L239" s="4" t="str">
        <f>HYPERLINK("http://141.218.60.56/~jnz1568/getInfo.php?workbook=10_02.xlsx&amp;sheet=A0&amp;row=239&amp;col=12&amp;number=&amp;sourceID=47","")</f>
        <v/>
      </c>
    </row>
    <row r="240" spans="1:12">
      <c r="A240" s="3">
        <v>10</v>
      </c>
      <c r="B240" s="3">
        <v>2</v>
      </c>
      <c r="C240" s="3">
        <v>24</v>
      </c>
      <c r="D240" s="3">
        <v>14</v>
      </c>
      <c r="E240" s="3">
        <f>((1/(INDEX(E0!J$4:J$52,C240,1)-INDEX(E0!J$4:J$52,D240,1))))*100000000</f>
        <v>0</v>
      </c>
      <c r="F240" s="4" t="str">
        <f>HYPERLINK("http://141.218.60.56/~jnz1568/getInfo.php?workbook=10_02.xlsx&amp;sheet=A0&amp;row=240&amp;col=6&amp;number=&amp;sourceID=27","")</f>
        <v/>
      </c>
      <c r="G240" s="4" t="str">
        <f>HYPERLINK("http://141.218.60.56/~jnz1568/getInfo.php?workbook=10_02.xlsx&amp;sheet=A0&amp;row=240&amp;col=7&amp;number=&amp;sourceID=32","")</f>
        <v/>
      </c>
      <c r="H240" s="4" t="str">
        <f>HYPERLINK("http://141.218.60.56/~jnz1568/getInfo.php?workbook=10_02.xlsx&amp;sheet=A0&amp;row=240&amp;col=8&amp;number=169200&amp;sourceID=32","169200")</f>
        <v>169200</v>
      </c>
      <c r="I240" s="4" t="str">
        <f>HYPERLINK("http://141.218.60.56/~jnz1568/getInfo.php?workbook=10_02.xlsx&amp;sheet=A0&amp;row=240&amp;col=9&amp;number=0.09205&amp;sourceID=32","0.09205")</f>
        <v>0.09205</v>
      </c>
      <c r="J240" s="4" t="str">
        <f>HYPERLINK("http://141.218.60.56/~jnz1568/getInfo.php?workbook=10_02.xlsx&amp;sheet=A0&amp;row=240&amp;col=10&amp;number=&amp;sourceID=32","")</f>
        <v/>
      </c>
      <c r="K240" s="4" t="str">
        <f>HYPERLINK("http://141.218.60.56/~jnz1568/getInfo.php?workbook=10_02.xlsx&amp;sheet=A0&amp;row=240&amp;col=11&amp;number=165110&amp;sourceID=46","165110")</f>
        <v>165110</v>
      </c>
      <c r="L240" s="4" t="str">
        <f>HYPERLINK("http://141.218.60.56/~jnz1568/getInfo.php?workbook=10_02.xlsx&amp;sheet=A0&amp;row=240&amp;col=12&amp;number=&amp;sourceID=47","")</f>
        <v/>
      </c>
    </row>
    <row r="241" spans="1:12">
      <c r="A241" s="3">
        <v>10</v>
      </c>
      <c r="B241" s="3">
        <v>2</v>
      </c>
      <c r="C241" s="3">
        <v>24</v>
      </c>
      <c r="D241" s="3">
        <v>15</v>
      </c>
      <c r="E241" s="3">
        <f>((1/(INDEX(E0!J$4:J$52,C241,1)-INDEX(E0!J$4:J$52,D241,1))))*100000000</f>
        <v>0</v>
      </c>
      <c r="F241" s="4" t="str">
        <f>HYPERLINK("http://141.218.60.56/~jnz1568/getInfo.php?workbook=10_02.xlsx&amp;sheet=A0&amp;row=241&amp;col=6&amp;number=&amp;sourceID=27","")</f>
        <v/>
      </c>
      <c r="G241" s="4" t="str">
        <f>HYPERLINK("http://141.218.60.56/~jnz1568/getInfo.php?workbook=10_02.xlsx&amp;sheet=A0&amp;row=241&amp;col=7&amp;number=&amp;sourceID=32","")</f>
        <v/>
      </c>
      <c r="H241" s="4" t="str">
        <f>HYPERLINK("http://141.218.60.56/~jnz1568/getInfo.php?workbook=10_02.xlsx&amp;sheet=A0&amp;row=241&amp;col=8&amp;number=246200&amp;sourceID=32","246200")</f>
        <v>246200</v>
      </c>
      <c r="I241" s="4" t="str">
        <f>HYPERLINK("http://141.218.60.56/~jnz1568/getInfo.php?workbook=10_02.xlsx&amp;sheet=A0&amp;row=241&amp;col=9&amp;number=0.07459&amp;sourceID=32","0.07459")</f>
        <v>0.07459</v>
      </c>
      <c r="J241" s="4" t="str">
        <f>HYPERLINK("http://141.218.60.56/~jnz1568/getInfo.php?workbook=10_02.xlsx&amp;sheet=A0&amp;row=241&amp;col=10&amp;number=&amp;sourceID=32","")</f>
        <v/>
      </c>
      <c r="K241" s="4" t="str">
        <f>HYPERLINK("http://141.218.60.56/~jnz1568/getInfo.php?workbook=10_02.xlsx&amp;sheet=A0&amp;row=241&amp;col=11&amp;number=248690&amp;sourceID=46","248690")</f>
        <v>248690</v>
      </c>
      <c r="L241" s="4" t="str">
        <f>HYPERLINK("http://141.218.60.56/~jnz1568/getInfo.php?workbook=10_02.xlsx&amp;sheet=A0&amp;row=241&amp;col=12&amp;number=&amp;sourceID=47","")</f>
        <v/>
      </c>
    </row>
    <row r="242" spans="1:12">
      <c r="A242" s="3">
        <v>10</v>
      </c>
      <c r="B242" s="3">
        <v>2</v>
      </c>
      <c r="C242" s="3">
        <v>24</v>
      </c>
      <c r="D242" s="3">
        <v>16</v>
      </c>
      <c r="E242" s="3">
        <f>((1/(INDEX(E0!J$4:J$52,C242,1)-INDEX(E0!J$4:J$52,D242,1))))*100000000</f>
        <v>0</v>
      </c>
      <c r="F242" s="4" t="str">
        <f>HYPERLINK("http://141.218.60.56/~jnz1568/getInfo.php?workbook=10_02.xlsx&amp;sheet=A0&amp;row=242&amp;col=6&amp;number=&amp;sourceID=27","")</f>
        <v/>
      </c>
      <c r="G242" s="4" t="str">
        <f>HYPERLINK("http://141.218.60.56/~jnz1568/getInfo.php?workbook=10_02.xlsx&amp;sheet=A0&amp;row=242&amp;col=7&amp;number=&amp;sourceID=32","")</f>
        <v/>
      </c>
      <c r="H242" s="4" t="str">
        <f>HYPERLINK("http://141.218.60.56/~jnz1568/getInfo.php?workbook=10_02.xlsx&amp;sheet=A0&amp;row=242&amp;col=8&amp;number=2384&amp;sourceID=32","2384")</f>
        <v>2384</v>
      </c>
      <c r="I242" s="4" t="str">
        <f>HYPERLINK("http://141.218.60.56/~jnz1568/getInfo.php?workbook=10_02.xlsx&amp;sheet=A0&amp;row=242&amp;col=9&amp;number=0.04678&amp;sourceID=32","0.04678")</f>
        <v>0.04678</v>
      </c>
      <c r="J242" s="4" t="str">
        <f>HYPERLINK("http://141.218.60.56/~jnz1568/getInfo.php?workbook=10_02.xlsx&amp;sheet=A0&amp;row=242&amp;col=10&amp;number=&amp;sourceID=32","")</f>
        <v/>
      </c>
      <c r="K242" s="4" t="str">
        <f>HYPERLINK("http://141.218.60.56/~jnz1568/getInfo.php?workbook=10_02.xlsx&amp;sheet=A0&amp;row=242&amp;col=11&amp;number=1510.7&amp;sourceID=46","1510.7")</f>
        <v>1510.7</v>
      </c>
      <c r="L242" s="4" t="str">
        <f>HYPERLINK("http://141.218.60.56/~jnz1568/getInfo.php?workbook=10_02.xlsx&amp;sheet=A0&amp;row=242&amp;col=12&amp;number=&amp;sourceID=47","")</f>
        <v/>
      </c>
    </row>
    <row r="243" spans="1:12">
      <c r="A243" s="3">
        <v>10</v>
      </c>
      <c r="B243" s="3">
        <v>2</v>
      </c>
      <c r="C243" s="3">
        <v>24</v>
      </c>
      <c r="D243" s="3">
        <v>17</v>
      </c>
      <c r="E243" s="3">
        <f>((1/(INDEX(E0!J$4:J$52,C243,1)-INDEX(E0!J$4:J$52,D243,1))))*100000000</f>
        <v>0</v>
      </c>
      <c r="F243" s="4" t="str">
        <f>HYPERLINK("http://141.218.60.56/~jnz1568/getInfo.php?workbook=10_02.xlsx&amp;sheet=A0&amp;row=243&amp;col=6&amp;number=&amp;sourceID=27","")</f>
        <v/>
      </c>
      <c r="G243" s="4" t="str">
        <f>HYPERLINK("http://141.218.60.56/~jnz1568/getInfo.php?workbook=10_02.xlsx&amp;sheet=A0&amp;row=243&amp;col=7&amp;number=976800000&amp;sourceID=32","976800000")</f>
        <v>976800000</v>
      </c>
      <c r="H243" s="4" t="str">
        <f>HYPERLINK("http://141.218.60.56/~jnz1568/getInfo.php?workbook=10_02.xlsx&amp;sheet=A0&amp;row=243&amp;col=8&amp;number=&amp;sourceID=32","")</f>
        <v/>
      </c>
      <c r="I243" s="4" t="str">
        <f>HYPERLINK("http://141.218.60.56/~jnz1568/getInfo.php?workbook=10_02.xlsx&amp;sheet=A0&amp;row=243&amp;col=9&amp;number=&amp;sourceID=32","")</f>
        <v/>
      </c>
      <c r="J243" s="4" t="str">
        <f>HYPERLINK("http://141.218.60.56/~jnz1568/getInfo.php?workbook=10_02.xlsx&amp;sheet=A0&amp;row=243&amp;col=10&amp;number=5.348&amp;sourceID=32","5.348")</f>
        <v>5.348</v>
      </c>
      <c r="K243" s="4" t="str">
        <f>HYPERLINK("http://141.218.60.56/~jnz1568/getInfo.php?workbook=10_02.xlsx&amp;sheet=A0&amp;row=243&amp;col=11&amp;number=607230000&amp;sourceID=46","607230000")</f>
        <v>607230000</v>
      </c>
      <c r="L243" s="4" t="str">
        <f>HYPERLINK("http://141.218.60.56/~jnz1568/getInfo.php?workbook=10_02.xlsx&amp;sheet=A0&amp;row=243&amp;col=12&amp;number=&amp;sourceID=47","")</f>
        <v/>
      </c>
    </row>
    <row r="244" spans="1:12">
      <c r="A244" s="3">
        <v>10</v>
      </c>
      <c r="B244" s="3">
        <v>2</v>
      </c>
      <c r="C244" s="3">
        <v>24</v>
      </c>
      <c r="D244" s="3">
        <v>18</v>
      </c>
      <c r="E244" s="3">
        <f>((1/(INDEX(E0!J$4:J$52,C244,1)-INDEX(E0!J$4:J$52,D244,1))))*100000000</f>
        <v>0</v>
      </c>
      <c r="F244" s="4" t="str">
        <f>HYPERLINK("http://141.218.60.56/~jnz1568/getInfo.php?workbook=10_02.xlsx&amp;sheet=A0&amp;row=244&amp;col=6&amp;number=&amp;sourceID=27","")</f>
        <v/>
      </c>
      <c r="G244" s="4" t="str">
        <f>HYPERLINK("http://141.218.60.56/~jnz1568/getInfo.php?workbook=10_02.xlsx&amp;sheet=A0&amp;row=244&amp;col=7&amp;number=&amp;sourceID=32","")</f>
        <v/>
      </c>
      <c r="H244" s="4" t="str">
        <f>HYPERLINK("http://141.218.60.56/~jnz1568/getInfo.php?workbook=10_02.xlsx&amp;sheet=A0&amp;row=244&amp;col=8&amp;number=0.4694&amp;sourceID=32","0.4694")</f>
        <v>0.4694</v>
      </c>
      <c r="I244" s="4" t="str">
        <f>HYPERLINK("http://141.218.60.56/~jnz1568/getInfo.php?workbook=10_02.xlsx&amp;sheet=A0&amp;row=244&amp;col=9&amp;number=5.424e-06&amp;sourceID=32","5.424e-06")</f>
        <v>5.424e-06</v>
      </c>
      <c r="J244" s="4" t="str">
        <f>HYPERLINK("http://141.218.60.56/~jnz1568/getInfo.php?workbook=10_02.xlsx&amp;sheet=A0&amp;row=244&amp;col=10&amp;number=&amp;sourceID=32","")</f>
        <v/>
      </c>
      <c r="K244" s="4" t="str">
        <f>HYPERLINK("http://141.218.60.56/~jnz1568/getInfo.php?workbook=10_02.xlsx&amp;sheet=A0&amp;row=244&amp;col=11&amp;number=&amp;sourceID=46","")</f>
        <v/>
      </c>
      <c r="L244" s="4" t="str">
        <f>HYPERLINK("http://141.218.60.56/~jnz1568/getInfo.php?workbook=10_02.xlsx&amp;sheet=A0&amp;row=244&amp;col=12&amp;number=&amp;sourceID=47","")</f>
        <v/>
      </c>
    </row>
    <row r="245" spans="1:12">
      <c r="A245" s="3">
        <v>10</v>
      </c>
      <c r="B245" s="3">
        <v>2</v>
      </c>
      <c r="C245" s="3">
        <v>24</v>
      </c>
      <c r="D245" s="3">
        <v>19</v>
      </c>
      <c r="E245" s="3">
        <f>((1/(INDEX(E0!J$4:J$52,C245,1)-INDEX(E0!J$4:J$52,D245,1))))*100000000</f>
        <v>0</v>
      </c>
      <c r="F245" s="4" t="str">
        <f>HYPERLINK("http://141.218.60.56/~jnz1568/getInfo.php?workbook=10_02.xlsx&amp;sheet=A0&amp;row=245&amp;col=6&amp;number=&amp;sourceID=27","")</f>
        <v/>
      </c>
      <c r="G245" s="4" t="str">
        <f>HYPERLINK("http://141.218.60.56/~jnz1568/getInfo.php?workbook=10_02.xlsx&amp;sheet=A0&amp;row=245&amp;col=7&amp;number=&amp;sourceID=32","")</f>
        <v/>
      </c>
      <c r="H245" s="4" t="str">
        <f>HYPERLINK("http://141.218.60.56/~jnz1568/getInfo.php?workbook=10_02.xlsx&amp;sheet=A0&amp;row=245&amp;col=8&amp;number=&amp;sourceID=32","")</f>
        <v/>
      </c>
      <c r="I245" s="4" t="str">
        <f>HYPERLINK("http://141.218.60.56/~jnz1568/getInfo.php?workbook=10_02.xlsx&amp;sheet=A0&amp;row=245&amp;col=9&amp;number=&amp;sourceID=32","")</f>
        <v/>
      </c>
      <c r="J245" s="4" t="str">
        <f>HYPERLINK("http://141.218.60.56/~jnz1568/getInfo.php?workbook=10_02.xlsx&amp;sheet=A0&amp;row=245&amp;col=10&amp;number=1.097e-09&amp;sourceID=32","1.097e-09")</f>
        <v>1.097e-09</v>
      </c>
      <c r="K245" s="4" t="str">
        <f>HYPERLINK("http://141.218.60.56/~jnz1568/getInfo.php?workbook=10_02.xlsx&amp;sheet=A0&amp;row=245&amp;col=11&amp;number=&amp;sourceID=46","")</f>
        <v/>
      </c>
      <c r="L245" s="4" t="str">
        <f>HYPERLINK("http://141.218.60.56/~jnz1568/getInfo.php?workbook=10_02.xlsx&amp;sheet=A0&amp;row=245&amp;col=12&amp;number=&amp;sourceID=47","")</f>
        <v/>
      </c>
    </row>
    <row r="246" spans="1:12">
      <c r="A246" s="3">
        <v>10</v>
      </c>
      <c r="B246" s="3">
        <v>2</v>
      </c>
      <c r="C246" s="3">
        <v>24</v>
      </c>
      <c r="D246" s="3">
        <v>20</v>
      </c>
      <c r="E246" s="3">
        <f>((1/(INDEX(E0!J$4:J$52,C246,1)-INDEX(E0!J$4:J$52,D246,1))))*100000000</f>
        <v>0</v>
      </c>
      <c r="F246" s="4" t="str">
        <f>HYPERLINK("http://141.218.60.56/~jnz1568/getInfo.php?workbook=10_02.xlsx&amp;sheet=A0&amp;row=246&amp;col=6&amp;number=&amp;sourceID=27","")</f>
        <v/>
      </c>
      <c r="G246" s="4" t="str">
        <f>HYPERLINK("http://141.218.60.56/~jnz1568/getInfo.php?workbook=10_02.xlsx&amp;sheet=A0&amp;row=246&amp;col=7&amp;number=386100&amp;sourceID=32","386100")</f>
        <v>386100</v>
      </c>
      <c r="H246" s="4" t="str">
        <f>HYPERLINK("http://141.218.60.56/~jnz1568/getInfo.php?workbook=10_02.xlsx&amp;sheet=A0&amp;row=246&amp;col=8&amp;number=&amp;sourceID=32","")</f>
        <v/>
      </c>
      <c r="I246" s="4" t="str">
        <f>HYPERLINK("http://141.218.60.56/~jnz1568/getInfo.php?workbook=10_02.xlsx&amp;sheet=A0&amp;row=246&amp;col=9&amp;number=&amp;sourceID=32","")</f>
        <v/>
      </c>
      <c r="J246" s="4" t="str">
        <f>HYPERLINK("http://141.218.60.56/~jnz1568/getInfo.php?workbook=10_02.xlsx&amp;sheet=A0&amp;row=246&amp;col=10&amp;number=3.406e-08&amp;sourceID=32","3.406e-08")</f>
        <v>3.406e-08</v>
      </c>
      <c r="K246" s="4" t="str">
        <f>HYPERLINK("http://141.218.60.56/~jnz1568/getInfo.php?workbook=10_02.xlsx&amp;sheet=A0&amp;row=246&amp;col=11&amp;number=430450&amp;sourceID=46","430450")</f>
        <v>430450</v>
      </c>
      <c r="L246" s="4" t="str">
        <f>HYPERLINK("http://141.218.60.56/~jnz1568/getInfo.php?workbook=10_02.xlsx&amp;sheet=A0&amp;row=246&amp;col=12&amp;number=&amp;sourceID=47","")</f>
        <v/>
      </c>
    </row>
    <row r="247" spans="1:12">
      <c r="A247" s="3">
        <v>10</v>
      </c>
      <c r="B247" s="3">
        <v>2</v>
      </c>
      <c r="C247" s="3">
        <v>24</v>
      </c>
      <c r="D247" s="3">
        <v>21</v>
      </c>
      <c r="E247" s="3">
        <f>((1/(INDEX(E0!J$4:J$52,C247,1)-INDEX(E0!J$4:J$52,D247,1))))*100000000</f>
        <v>0</v>
      </c>
      <c r="F247" s="4" t="str">
        <f>HYPERLINK("http://141.218.60.56/~jnz1568/getInfo.php?workbook=10_02.xlsx&amp;sheet=A0&amp;row=247&amp;col=6&amp;number=&amp;sourceID=27","")</f>
        <v/>
      </c>
      <c r="G247" s="4" t="str">
        <f>HYPERLINK("http://141.218.60.56/~jnz1568/getInfo.php?workbook=10_02.xlsx&amp;sheet=A0&amp;row=247&amp;col=7&amp;number=&amp;sourceID=32","")</f>
        <v/>
      </c>
      <c r="H247" s="4" t="str">
        <f>HYPERLINK("http://141.218.60.56/~jnz1568/getInfo.php?workbook=10_02.xlsx&amp;sheet=A0&amp;row=247&amp;col=8&amp;number=7.789e-05&amp;sourceID=32","7.789e-05")</f>
        <v>7.789e-05</v>
      </c>
      <c r="I247" s="4" t="str">
        <f>HYPERLINK("http://141.218.60.56/~jnz1568/getInfo.php?workbook=10_02.xlsx&amp;sheet=A0&amp;row=247&amp;col=9&amp;number=&amp;sourceID=32","")</f>
        <v/>
      </c>
      <c r="J247" s="4" t="str">
        <f>HYPERLINK("http://141.218.60.56/~jnz1568/getInfo.php?workbook=10_02.xlsx&amp;sheet=A0&amp;row=247&amp;col=10&amp;number=&amp;sourceID=32","")</f>
        <v/>
      </c>
      <c r="K247" s="4" t="str">
        <f>HYPERLINK("http://141.218.60.56/~jnz1568/getInfo.php?workbook=10_02.xlsx&amp;sheet=A0&amp;row=247&amp;col=11&amp;number=&amp;sourceID=46","")</f>
        <v/>
      </c>
      <c r="L247" s="4" t="str">
        <f>HYPERLINK("http://141.218.60.56/~jnz1568/getInfo.php?workbook=10_02.xlsx&amp;sheet=A0&amp;row=247&amp;col=12&amp;number=&amp;sourceID=47","")</f>
        <v/>
      </c>
    </row>
    <row r="248" spans="1:12">
      <c r="A248" s="3">
        <v>10</v>
      </c>
      <c r="B248" s="3">
        <v>2</v>
      </c>
      <c r="C248" s="3">
        <v>24</v>
      </c>
      <c r="D248" s="3">
        <v>22</v>
      </c>
      <c r="E248" s="3">
        <f>((1/(INDEX(E0!J$4:J$52,C248,1)-INDEX(E0!J$4:J$52,D248,1))))*100000000</f>
        <v>0</v>
      </c>
      <c r="F248" s="4" t="str">
        <f>HYPERLINK("http://141.218.60.56/~jnz1568/getInfo.php?workbook=10_02.xlsx&amp;sheet=A0&amp;row=248&amp;col=6&amp;number=&amp;sourceID=27","")</f>
        <v/>
      </c>
      <c r="G248" s="4" t="str">
        <f>HYPERLINK("http://141.218.60.56/~jnz1568/getInfo.php?workbook=10_02.xlsx&amp;sheet=A0&amp;row=248&amp;col=7&amp;number=113000&amp;sourceID=32","113000")</f>
        <v>113000</v>
      </c>
      <c r="H248" s="4" t="str">
        <f>HYPERLINK("http://141.218.60.56/~jnz1568/getInfo.php?workbook=10_02.xlsx&amp;sheet=A0&amp;row=248&amp;col=8&amp;number=&amp;sourceID=32","")</f>
        <v/>
      </c>
      <c r="I248" s="4" t="str">
        <f>HYPERLINK("http://141.218.60.56/~jnz1568/getInfo.php?workbook=10_02.xlsx&amp;sheet=A0&amp;row=248&amp;col=9&amp;number=&amp;sourceID=32","")</f>
        <v/>
      </c>
      <c r="J248" s="4" t="str">
        <f>HYPERLINK("http://141.218.60.56/~jnz1568/getInfo.php?workbook=10_02.xlsx&amp;sheet=A0&amp;row=248&amp;col=10&amp;number=1.1e-08&amp;sourceID=32","1.1e-08")</f>
        <v>1.1e-08</v>
      </c>
      <c r="K248" s="4" t="str">
        <f>HYPERLINK("http://141.218.60.56/~jnz1568/getInfo.php?workbook=10_02.xlsx&amp;sheet=A0&amp;row=248&amp;col=11&amp;number=125030&amp;sourceID=46","125030")</f>
        <v>125030</v>
      </c>
      <c r="L248" s="4" t="str">
        <f>HYPERLINK("http://141.218.60.56/~jnz1568/getInfo.php?workbook=10_02.xlsx&amp;sheet=A0&amp;row=248&amp;col=12&amp;number=&amp;sourceID=47","")</f>
        <v/>
      </c>
    </row>
    <row r="249" spans="1:12">
      <c r="A249" s="3">
        <v>10</v>
      </c>
      <c r="B249" s="3">
        <v>2</v>
      </c>
      <c r="C249" s="3">
        <v>25</v>
      </c>
      <c r="D249" s="3">
        <v>2</v>
      </c>
      <c r="E249" s="3">
        <f>((1/(INDEX(E0!J$4:J$52,C249,1)-INDEX(E0!J$4:J$52,D249,1))))*100000000</f>
        <v>0</v>
      </c>
      <c r="F249" s="4" t="str">
        <f>HYPERLINK("http://141.218.60.56/~jnz1568/getInfo.php?workbook=10_02.xlsx&amp;sheet=A0&amp;row=249&amp;col=6&amp;number=&amp;sourceID=27","")</f>
        <v/>
      </c>
      <c r="G249" s="4" t="str">
        <f>HYPERLINK("http://141.218.60.56/~jnz1568/getInfo.php?workbook=10_02.xlsx&amp;sheet=A0&amp;row=249&amp;col=7&amp;number=&amp;sourceID=32","")</f>
        <v/>
      </c>
      <c r="H249" s="4" t="str">
        <f>HYPERLINK("http://141.218.60.56/~jnz1568/getInfo.php?workbook=10_02.xlsx&amp;sheet=A0&amp;row=249&amp;col=8&amp;number=5121000&amp;sourceID=32","5121000")</f>
        <v>5121000</v>
      </c>
      <c r="I249" s="4" t="str">
        <f>HYPERLINK("http://141.218.60.56/~jnz1568/getInfo.php?workbook=10_02.xlsx&amp;sheet=A0&amp;row=249&amp;col=9&amp;number=&amp;sourceID=32","")</f>
        <v/>
      </c>
      <c r="J249" s="4" t="str">
        <f>HYPERLINK("http://141.218.60.56/~jnz1568/getInfo.php?workbook=10_02.xlsx&amp;sheet=A0&amp;row=249&amp;col=10&amp;number=&amp;sourceID=32","")</f>
        <v/>
      </c>
      <c r="K249" s="4" t="str">
        <f>HYPERLINK("http://141.218.60.56/~jnz1568/getInfo.php?workbook=10_02.xlsx&amp;sheet=A0&amp;row=249&amp;col=11&amp;number=4916300&amp;sourceID=46","4916300")</f>
        <v>4916300</v>
      </c>
      <c r="L249" s="4" t="str">
        <f>HYPERLINK("http://141.218.60.56/~jnz1568/getInfo.php?workbook=10_02.xlsx&amp;sheet=A0&amp;row=249&amp;col=12&amp;number=&amp;sourceID=47","")</f>
        <v/>
      </c>
    </row>
    <row r="250" spans="1:12">
      <c r="A250" s="3">
        <v>10</v>
      </c>
      <c r="B250" s="3">
        <v>2</v>
      </c>
      <c r="C250" s="3">
        <v>25</v>
      </c>
      <c r="D250" s="3">
        <v>4</v>
      </c>
      <c r="E250" s="3">
        <f>((1/(INDEX(E0!J$4:J$52,C250,1)-INDEX(E0!J$4:J$52,D250,1))))*100000000</f>
        <v>0</v>
      </c>
      <c r="F250" s="4" t="str">
        <f>HYPERLINK("http://141.218.60.56/~jnz1568/getInfo.php?workbook=10_02.xlsx&amp;sheet=A0&amp;row=250&amp;col=6&amp;number=&amp;sourceID=27","")</f>
        <v/>
      </c>
      <c r="G250" s="4" t="str">
        <f>HYPERLINK("http://141.218.60.56/~jnz1568/getInfo.php?workbook=10_02.xlsx&amp;sheet=A0&amp;row=250&amp;col=7&amp;number=&amp;sourceID=32","")</f>
        <v/>
      </c>
      <c r="H250" s="4" t="str">
        <f>HYPERLINK("http://141.218.60.56/~jnz1568/getInfo.php?workbook=10_02.xlsx&amp;sheet=A0&amp;row=250&amp;col=8&amp;number=&amp;sourceID=32","")</f>
        <v/>
      </c>
      <c r="I250" s="4" t="str">
        <f>HYPERLINK("http://141.218.60.56/~jnz1568/getInfo.php?workbook=10_02.xlsx&amp;sheet=A0&amp;row=250&amp;col=9&amp;number=&amp;sourceID=32","")</f>
        <v/>
      </c>
      <c r="J250" s="4" t="str">
        <f>HYPERLINK("http://141.218.60.56/~jnz1568/getInfo.php?workbook=10_02.xlsx&amp;sheet=A0&amp;row=250&amp;col=10&amp;number=124.3&amp;sourceID=32","124.3")</f>
        <v>124.3</v>
      </c>
      <c r="K250" s="4" t="str">
        <f>HYPERLINK("http://141.218.60.56/~jnz1568/getInfo.php?workbook=10_02.xlsx&amp;sheet=A0&amp;row=250&amp;col=11&amp;number=124.04&amp;sourceID=46","124.04")</f>
        <v>124.04</v>
      </c>
      <c r="L250" s="4" t="str">
        <f>HYPERLINK("http://141.218.60.56/~jnz1568/getInfo.php?workbook=10_02.xlsx&amp;sheet=A0&amp;row=250&amp;col=12&amp;number=&amp;sourceID=47","")</f>
        <v/>
      </c>
    </row>
    <row r="251" spans="1:12">
      <c r="A251" s="3">
        <v>10</v>
      </c>
      <c r="B251" s="3">
        <v>2</v>
      </c>
      <c r="C251" s="3">
        <v>25</v>
      </c>
      <c r="D251" s="3">
        <v>5</v>
      </c>
      <c r="E251" s="3">
        <f>((1/(INDEX(E0!J$4:J$52,C251,1)-INDEX(E0!J$4:J$52,D251,1))))*100000000</f>
        <v>0</v>
      </c>
      <c r="F251" s="4" t="str">
        <f>HYPERLINK("http://141.218.60.56/~jnz1568/getInfo.php?workbook=10_02.xlsx&amp;sheet=A0&amp;row=251&amp;col=6&amp;number=&amp;sourceID=27","")</f>
        <v/>
      </c>
      <c r="G251" s="4" t="str">
        <f>HYPERLINK("http://141.218.60.56/~jnz1568/getInfo.php?workbook=10_02.xlsx&amp;sheet=A0&amp;row=251&amp;col=7&amp;number=143400000000&amp;sourceID=32","143400000000")</f>
        <v>143400000000</v>
      </c>
      <c r="H251" s="4" t="str">
        <f>HYPERLINK("http://141.218.60.56/~jnz1568/getInfo.php?workbook=10_02.xlsx&amp;sheet=A0&amp;row=251&amp;col=8&amp;number=&amp;sourceID=32","")</f>
        <v/>
      </c>
      <c r="I251" s="4" t="str">
        <f>HYPERLINK("http://141.218.60.56/~jnz1568/getInfo.php?workbook=10_02.xlsx&amp;sheet=A0&amp;row=251&amp;col=9&amp;number=&amp;sourceID=32","")</f>
        <v/>
      </c>
      <c r="J251" s="4" t="str">
        <f>HYPERLINK("http://141.218.60.56/~jnz1568/getInfo.php?workbook=10_02.xlsx&amp;sheet=A0&amp;row=251&amp;col=10&amp;number=5139&amp;sourceID=32","5139")</f>
        <v>5139</v>
      </c>
      <c r="K251" s="4" t="str">
        <f>HYPERLINK("http://141.218.60.56/~jnz1568/getInfo.php?workbook=10_02.xlsx&amp;sheet=A0&amp;row=251&amp;col=11&amp;number=143500000000&amp;sourceID=46","143500000000")</f>
        <v>143500000000</v>
      </c>
      <c r="L251" s="4" t="str">
        <f>HYPERLINK("http://141.218.60.56/~jnz1568/getInfo.php?workbook=10_02.xlsx&amp;sheet=A0&amp;row=251&amp;col=12&amp;number=&amp;sourceID=47","")</f>
        <v/>
      </c>
    </row>
    <row r="252" spans="1:12">
      <c r="A252" s="3">
        <v>10</v>
      </c>
      <c r="B252" s="3">
        <v>2</v>
      </c>
      <c r="C252" s="3">
        <v>25</v>
      </c>
      <c r="D252" s="3">
        <v>7</v>
      </c>
      <c r="E252" s="3">
        <f>((1/(INDEX(E0!J$4:J$52,C252,1)-INDEX(E0!J$4:J$52,D252,1))))*100000000</f>
        <v>0</v>
      </c>
      <c r="F252" s="4" t="str">
        <f>HYPERLINK("http://141.218.60.56/~jnz1568/getInfo.php?workbook=10_02.xlsx&amp;sheet=A0&amp;row=252&amp;col=6&amp;number=&amp;sourceID=27","")</f>
        <v/>
      </c>
      <c r="G252" s="4" t="str">
        <f>HYPERLINK("http://141.218.60.56/~jnz1568/getInfo.php?workbook=10_02.xlsx&amp;sheet=A0&amp;row=252&amp;col=7&amp;number=&amp;sourceID=32","")</f>
        <v/>
      </c>
      <c r="H252" s="4" t="str">
        <f>HYPERLINK("http://141.218.60.56/~jnz1568/getInfo.php?workbook=10_02.xlsx&amp;sheet=A0&amp;row=252&amp;col=8&amp;number=&amp;sourceID=32","")</f>
        <v/>
      </c>
      <c r="I252" s="4" t="str">
        <f>HYPERLINK("http://141.218.60.56/~jnz1568/getInfo.php?workbook=10_02.xlsx&amp;sheet=A0&amp;row=252&amp;col=9&amp;number=&amp;sourceID=32","")</f>
        <v/>
      </c>
      <c r="J252" s="4" t="str">
        <f>HYPERLINK("http://141.218.60.56/~jnz1568/getInfo.php?workbook=10_02.xlsx&amp;sheet=A0&amp;row=252&amp;col=10&amp;number=1578&amp;sourceID=32","1578")</f>
        <v>1578</v>
      </c>
      <c r="K252" s="4" t="str">
        <f>HYPERLINK("http://141.218.60.56/~jnz1568/getInfo.php?workbook=10_02.xlsx&amp;sheet=A0&amp;row=252&amp;col=11&amp;number=1572.7&amp;sourceID=46","1572.7")</f>
        <v>1572.7</v>
      </c>
      <c r="L252" s="4" t="str">
        <f>HYPERLINK("http://141.218.60.56/~jnz1568/getInfo.php?workbook=10_02.xlsx&amp;sheet=A0&amp;row=252&amp;col=12&amp;number=&amp;sourceID=47","")</f>
        <v/>
      </c>
    </row>
    <row r="253" spans="1:12">
      <c r="A253" s="3">
        <v>10</v>
      </c>
      <c r="B253" s="3">
        <v>2</v>
      </c>
      <c r="C253" s="3">
        <v>25</v>
      </c>
      <c r="D253" s="3">
        <v>8</v>
      </c>
      <c r="E253" s="3">
        <f>((1/(INDEX(E0!J$4:J$52,C253,1)-INDEX(E0!J$4:J$52,D253,1))))*100000000</f>
        <v>0</v>
      </c>
      <c r="F253" s="4" t="str">
        <f>HYPERLINK("http://141.218.60.56/~jnz1568/getInfo.php?workbook=10_02.xlsx&amp;sheet=A0&amp;row=253&amp;col=6&amp;number=&amp;sourceID=27","")</f>
        <v/>
      </c>
      <c r="G253" s="4" t="str">
        <f>HYPERLINK("http://141.218.60.56/~jnz1568/getInfo.php?workbook=10_02.xlsx&amp;sheet=A0&amp;row=253&amp;col=7&amp;number=&amp;sourceID=32","")</f>
        <v/>
      </c>
      <c r="H253" s="4" t="str">
        <f>HYPERLINK("http://141.218.60.56/~jnz1568/getInfo.php?workbook=10_02.xlsx&amp;sheet=A0&amp;row=253&amp;col=8&amp;number=2353000&amp;sourceID=32","2353000")</f>
        <v>2353000</v>
      </c>
      <c r="I253" s="4" t="str">
        <f>HYPERLINK("http://141.218.60.56/~jnz1568/getInfo.php?workbook=10_02.xlsx&amp;sheet=A0&amp;row=253&amp;col=9&amp;number=&amp;sourceID=32","")</f>
        <v/>
      </c>
      <c r="J253" s="4" t="str">
        <f>HYPERLINK("http://141.218.60.56/~jnz1568/getInfo.php?workbook=10_02.xlsx&amp;sheet=A0&amp;row=253&amp;col=10&amp;number=&amp;sourceID=32","")</f>
        <v/>
      </c>
      <c r="K253" s="4" t="str">
        <f>HYPERLINK("http://141.218.60.56/~jnz1568/getInfo.php?workbook=10_02.xlsx&amp;sheet=A0&amp;row=253&amp;col=11&amp;number=2349900&amp;sourceID=46","2349900")</f>
        <v>2349900</v>
      </c>
      <c r="L253" s="4" t="str">
        <f>HYPERLINK("http://141.218.60.56/~jnz1568/getInfo.php?workbook=10_02.xlsx&amp;sheet=A0&amp;row=253&amp;col=12&amp;number=&amp;sourceID=47","")</f>
        <v/>
      </c>
    </row>
    <row r="254" spans="1:12">
      <c r="A254" s="3">
        <v>10</v>
      </c>
      <c r="B254" s="3">
        <v>2</v>
      </c>
      <c r="C254" s="3">
        <v>25</v>
      </c>
      <c r="D254" s="3">
        <v>9</v>
      </c>
      <c r="E254" s="3">
        <f>((1/(INDEX(E0!J$4:J$52,C254,1)-INDEX(E0!J$4:J$52,D254,1))))*100000000</f>
        <v>0</v>
      </c>
      <c r="F254" s="4" t="str">
        <f>HYPERLINK("http://141.218.60.56/~jnz1568/getInfo.php?workbook=10_02.xlsx&amp;sheet=A0&amp;row=254&amp;col=6&amp;number=&amp;sourceID=27","")</f>
        <v/>
      </c>
      <c r="G254" s="4" t="str">
        <f>HYPERLINK("http://141.218.60.56/~jnz1568/getInfo.php?workbook=10_02.xlsx&amp;sheet=A0&amp;row=254&amp;col=7&amp;number=&amp;sourceID=32","")</f>
        <v/>
      </c>
      <c r="H254" s="4" t="str">
        <f>HYPERLINK("http://141.218.60.56/~jnz1568/getInfo.php?workbook=10_02.xlsx&amp;sheet=A0&amp;row=254&amp;col=8&amp;number=&amp;sourceID=32","")</f>
        <v/>
      </c>
      <c r="I254" s="4" t="str">
        <f>HYPERLINK("http://141.218.60.56/~jnz1568/getInfo.php?workbook=10_02.xlsx&amp;sheet=A0&amp;row=254&amp;col=9&amp;number=&amp;sourceID=32","")</f>
        <v/>
      </c>
      <c r="J254" s="4" t="str">
        <f>HYPERLINK("http://141.218.60.56/~jnz1568/getInfo.php?workbook=10_02.xlsx&amp;sheet=A0&amp;row=254&amp;col=10&amp;number=&amp;sourceID=32","")</f>
        <v/>
      </c>
      <c r="K254" s="4" t="str">
        <f>HYPERLINK("http://141.218.60.56/~jnz1568/getInfo.php?workbook=10_02.xlsx&amp;sheet=A0&amp;row=254&amp;col=11&amp;number=14.409&amp;sourceID=46","14.409")</f>
        <v>14.409</v>
      </c>
      <c r="L254" s="4" t="str">
        <f>HYPERLINK("http://141.218.60.56/~jnz1568/getInfo.php?workbook=10_02.xlsx&amp;sheet=A0&amp;row=254&amp;col=12&amp;number=&amp;sourceID=47","")</f>
        <v/>
      </c>
    </row>
    <row r="255" spans="1:12">
      <c r="A255" s="3">
        <v>10</v>
      </c>
      <c r="B255" s="3">
        <v>2</v>
      </c>
      <c r="C255" s="3">
        <v>25</v>
      </c>
      <c r="D255" s="3">
        <v>10</v>
      </c>
      <c r="E255" s="3">
        <f>((1/(INDEX(E0!J$4:J$52,C255,1)-INDEX(E0!J$4:J$52,D255,1))))*100000000</f>
        <v>0</v>
      </c>
      <c r="F255" s="4" t="str">
        <f>HYPERLINK("http://141.218.60.56/~jnz1568/getInfo.php?workbook=10_02.xlsx&amp;sheet=A0&amp;row=255&amp;col=6&amp;number=&amp;sourceID=27","")</f>
        <v/>
      </c>
      <c r="G255" s="4" t="str">
        <f>HYPERLINK("http://141.218.60.56/~jnz1568/getInfo.php?workbook=10_02.xlsx&amp;sheet=A0&amp;row=255&amp;col=7&amp;number=&amp;sourceID=32","")</f>
        <v/>
      </c>
      <c r="H255" s="4" t="str">
        <f>HYPERLINK("http://141.218.60.56/~jnz1568/getInfo.php?workbook=10_02.xlsx&amp;sheet=A0&amp;row=255&amp;col=8&amp;number=&amp;sourceID=32","")</f>
        <v/>
      </c>
      <c r="I255" s="4" t="str">
        <f>HYPERLINK("http://141.218.60.56/~jnz1568/getInfo.php?workbook=10_02.xlsx&amp;sheet=A0&amp;row=255&amp;col=9&amp;number=&amp;sourceID=32","")</f>
        <v/>
      </c>
      <c r="J255" s="4" t="str">
        <f>HYPERLINK("http://141.218.60.56/~jnz1568/getInfo.php?workbook=10_02.xlsx&amp;sheet=A0&amp;row=255&amp;col=10&amp;number=2.716&amp;sourceID=32","2.716")</f>
        <v>2.716</v>
      </c>
      <c r="K255" s="4" t="str">
        <f>HYPERLINK("http://141.218.60.56/~jnz1568/getInfo.php?workbook=10_02.xlsx&amp;sheet=A0&amp;row=255&amp;col=11&amp;number=31.409&amp;sourceID=46","31.409")</f>
        <v>31.409</v>
      </c>
      <c r="L255" s="4" t="str">
        <f>HYPERLINK("http://141.218.60.56/~jnz1568/getInfo.php?workbook=10_02.xlsx&amp;sheet=A0&amp;row=255&amp;col=12&amp;number=&amp;sourceID=47","")</f>
        <v/>
      </c>
    </row>
    <row r="256" spans="1:12">
      <c r="A256" s="3">
        <v>10</v>
      </c>
      <c r="B256" s="3">
        <v>2</v>
      </c>
      <c r="C256" s="3">
        <v>25</v>
      </c>
      <c r="D256" s="3">
        <v>12</v>
      </c>
      <c r="E256" s="3">
        <f>((1/(INDEX(E0!J$4:J$52,C256,1)-INDEX(E0!J$4:J$52,D256,1))))*100000000</f>
        <v>0</v>
      </c>
      <c r="F256" s="4" t="str">
        <f>HYPERLINK("http://141.218.60.56/~jnz1568/getInfo.php?workbook=10_02.xlsx&amp;sheet=A0&amp;row=256&amp;col=6&amp;number=&amp;sourceID=27","")</f>
        <v/>
      </c>
      <c r="G256" s="4" t="str">
        <f>HYPERLINK("http://141.218.60.56/~jnz1568/getInfo.php?workbook=10_02.xlsx&amp;sheet=A0&amp;row=256&amp;col=7&amp;number=45720000000&amp;sourceID=32","45720000000")</f>
        <v>45720000000</v>
      </c>
      <c r="H256" s="4" t="str">
        <f>HYPERLINK("http://141.218.60.56/~jnz1568/getInfo.php?workbook=10_02.xlsx&amp;sheet=A0&amp;row=256&amp;col=8&amp;number=&amp;sourceID=32","")</f>
        <v/>
      </c>
      <c r="I256" s="4" t="str">
        <f>HYPERLINK("http://141.218.60.56/~jnz1568/getInfo.php?workbook=10_02.xlsx&amp;sheet=A0&amp;row=256&amp;col=9&amp;number=&amp;sourceID=32","")</f>
        <v/>
      </c>
      <c r="J256" s="4" t="str">
        <f>HYPERLINK("http://141.218.60.56/~jnz1568/getInfo.php?workbook=10_02.xlsx&amp;sheet=A0&amp;row=256&amp;col=10&amp;number=110.6&amp;sourceID=32","110.6")</f>
        <v>110.6</v>
      </c>
      <c r="K256" s="4" t="str">
        <f>HYPERLINK("http://141.218.60.56/~jnz1568/getInfo.php?workbook=10_02.xlsx&amp;sheet=A0&amp;row=256&amp;col=11&amp;number=45633000000&amp;sourceID=46","45633000000")</f>
        <v>45633000000</v>
      </c>
      <c r="L256" s="4" t="str">
        <f>HYPERLINK("http://141.218.60.56/~jnz1568/getInfo.php?workbook=10_02.xlsx&amp;sheet=A0&amp;row=256&amp;col=12&amp;number=&amp;sourceID=47","")</f>
        <v/>
      </c>
    </row>
    <row r="257" spans="1:12">
      <c r="A257" s="3">
        <v>10</v>
      </c>
      <c r="B257" s="3">
        <v>2</v>
      </c>
      <c r="C257" s="3">
        <v>25</v>
      </c>
      <c r="D257" s="3">
        <v>13</v>
      </c>
      <c r="E257" s="3">
        <f>((1/(INDEX(E0!J$4:J$52,C257,1)-INDEX(E0!J$4:J$52,D257,1))))*100000000</f>
        <v>0</v>
      </c>
      <c r="F257" s="4" t="str">
        <f>HYPERLINK("http://141.218.60.56/~jnz1568/getInfo.php?workbook=10_02.xlsx&amp;sheet=A0&amp;row=257&amp;col=6&amp;number=&amp;sourceID=27","")</f>
        <v/>
      </c>
      <c r="G257" s="4" t="str">
        <f>HYPERLINK("http://141.218.60.56/~jnz1568/getInfo.php?workbook=10_02.xlsx&amp;sheet=A0&amp;row=257&amp;col=7&amp;number=&amp;sourceID=32","")</f>
        <v/>
      </c>
      <c r="H257" s="4" t="str">
        <f>HYPERLINK("http://141.218.60.56/~jnz1568/getInfo.php?workbook=10_02.xlsx&amp;sheet=A0&amp;row=257&amp;col=8&amp;number=18010&amp;sourceID=32","18010")</f>
        <v>18010</v>
      </c>
      <c r="I257" s="4" t="str">
        <f>HYPERLINK("http://141.218.60.56/~jnz1568/getInfo.php?workbook=10_02.xlsx&amp;sheet=A0&amp;row=257&amp;col=9&amp;number=&amp;sourceID=32","")</f>
        <v/>
      </c>
      <c r="J257" s="4" t="str">
        <f>HYPERLINK("http://141.218.60.56/~jnz1568/getInfo.php?workbook=10_02.xlsx&amp;sheet=A0&amp;row=257&amp;col=10&amp;number=&amp;sourceID=32","")</f>
        <v/>
      </c>
      <c r="K257" s="4" t="str">
        <f>HYPERLINK("http://141.218.60.56/~jnz1568/getInfo.php?workbook=10_02.xlsx&amp;sheet=A0&amp;row=257&amp;col=11&amp;number=18005&amp;sourceID=46","18005")</f>
        <v>18005</v>
      </c>
      <c r="L257" s="4" t="str">
        <f>HYPERLINK("http://141.218.60.56/~jnz1568/getInfo.php?workbook=10_02.xlsx&amp;sheet=A0&amp;row=257&amp;col=12&amp;number=&amp;sourceID=47","")</f>
        <v/>
      </c>
    </row>
    <row r="258" spans="1:12">
      <c r="A258" s="3">
        <v>10</v>
      </c>
      <c r="B258" s="3">
        <v>2</v>
      </c>
      <c r="C258" s="3">
        <v>25</v>
      </c>
      <c r="D258" s="3">
        <v>14</v>
      </c>
      <c r="E258" s="3">
        <f>((1/(INDEX(E0!J$4:J$52,C258,1)-INDEX(E0!J$4:J$52,D258,1))))*100000000</f>
        <v>0</v>
      </c>
      <c r="F258" s="4" t="str">
        <f>HYPERLINK("http://141.218.60.56/~jnz1568/getInfo.php?workbook=10_02.xlsx&amp;sheet=A0&amp;row=258&amp;col=6&amp;number=&amp;sourceID=27","")</f>
        <v/>
      </c>
      <c r="G258" s="4" t="str">
        <f>HYPERLINK("http://141.218.60.56/~jnz1568/getInfo.php?workbook=10_02.xlsx&amp;sheet=A0&amp;row=258&amp;col=7&amp;number=&amp;sourceID=32","")</f>
        <v/>
      </c>
      <c r="H258" s="4" t="str">
        <f>HYPERLINK("http://141.218.60.56/~jnz1568/getInfo.php?workbook=10_02.xlsx&amp;sheet=A0&amp;row=258&amp;col=8&amp;number=173200&amp;sourceID=32","173200")</f>
        <v>173200</v>
      </c>
      <c r="I258" s="4" t="str">
        <f>HYPERLINK("http://141.218.60.56/~jnz1568/getInfo.php?workbook=10_02.xlsx&amp;sheet=A0&amp;row=258&amp;col=9&amp;number=0.05148&amp;sourceID=32","0.05148")</f>
        <v>0.05148</v>
      </c>
      <c r="J258" s="4" t="str">
        <f>HYPERLINK("http://141.218.60.56/~jnz1568/getInfo.php?workbook=10_02.xlsx&amp;sheet=A0&amp;row=258&amp;col=10&amp;number=&amp;sourceID=32","")</f>
        <v/>
      </c>
      <c r="K258" s="4" t="str">
        <f>HYPERLINK("http://141.218.60.56/~jnz1568/getInfo.php?workbook=10_02.xlsx&amp;sheet=A0&amp;row=258&amp;col=11&amp;number=175950&amp;sourceID=46","175950")</f>
        <v>175950</v>
      </c>
      <c r="L258" s="4" t="str">
        <f>HYPERLINK("http://141.218.60.56/~jnz1568/getInfo.php?workbook=10_02.xlsx&amp;sheet=A0&amp;row=258&amp;col=12&amp;number=&amp;sourceID=47","")</f>
        <v/>
      </c>
    </row>
    <row r="259" spans="1:12">
      <c r="A259" s="3">
        <v>10</v>
      </c>
      <c r="B259" s="3">
        <v>2</v>
      </c>
      <c r="C259" s="3">
        <v>25</v>
      </c>
      <c r="D259" s="3">
        <v>15</v>
      </c>
      <c r="E259" s="3">
        <f>((1/(INDEX(E0!J$4:J$52,C259,1)-INDEX(E0!J$4:J$52,D259,1))))*100000000</f>
        <v>0</v>
      </c>
      <c r="F259" s="4" t="str">
        <f>HYPERLINK("http://141.218.60.56/~jnz1568/getInfo.php?workbook=10_02.xlsx&amp;sheet=A0&amp;row=259&amp;col=6&amp;number=&amp;sourceID=27","")</f>
        <v/>
      </c>
      <c r="G259" s="4" t="str">
        <f>HYPERLINK("http://141.218.60.56/~jnz1568/getInfo.php?workbook=10_02.xlsx&amp;sheet=A0&amp;row=259&amp;col=7&amp;number=&amp;sourceID=32","")</f>
        <v/>
      </c>
      <c r="H259" s="4" t="str">
        <f>HYPERLINK("http://141.218.60.56/~jnz1568/getInfo.php?workbook=10_02.xlsx&amp;sheet=A0&amp;row=259&amp;col=8&amp;number=434100&amp;sourceID=32","434100")</f>
        <v>434100</v>
      </c>
      <c r="I259" s="4" t="str">
        <f>HYPERLINK("http://141.218.60.56/~jnz1568/getInfo.php?workbook=10_02.xlsx&amp;sheet=A0&amp;row=259&amp;col=9&amp;number=0.1946&amp;sourceID=32","0.1946")</f>
        <v>0.1946</v>
      </c>
      <c r="J259" s="4" t="str">
        <f>HYPERLINK("http://141.218.60.56/~jnz1568/getInfo.php?workbook=10_02.xlsx&amp;sheet=A0&amp;row=259&amp;col=10&amp;number=&amp;sourceID=32","")</f>
        <v/>
      </c>
      <c r="K259" s="4" t="str">
        <f>HYPERLINK("http://141.218.60.56/~jnz1568/getInfo.php?workbook=10_02.xlsx&amp;sheet=A0&amp;row=259&amp;col=11&amp;number=433910&amp;sourceID=46","433910")</f>
        <v>433910</v>
      </c>
      <c r="L259" s="4" t="str">
        <f>HYPERLINK("http://141.218.60.56/~jnz1568/getInfo.php?workbook=10_02.xlsx&amp;sheet=A0&amp;row=259&amp;col=12&amp;number=&amp;sourceID=47","")</f>
        <v/>
      </c>
    </row>
    <row r="260" spans="1:12">
      <c r="A260" s="3">
        <v>10</v>
      </c>
      <c r="B260" s="3">
        <v>2</v>
      </c>
      <c r="C260" s="3">
        <v>25</v>
      </c>
      <c r="D260" s="3">
        <v>16</v>
      </c>
      <c r="E260" s="3">
        <f>((1/(INDEX(E0!J$4:J$52,C260,1)-INDEX(E0!J$4:J$52,D260,1))))*100000000</f>
        <v>0</v>
      </c>
      <c r="F260" s="4" t="str">
        <f>HYPERLINK("http://141.218.60.56/~jnz1568/getInfo.php?workbook=10_02.xlsx&amp;sheet=A0&amp;row=260&amp;col=6&amp;number=&amp;sourceID=27","")</f>
        <v/>
      </c>
      <c r="G260" s="4" t="str">
        <f>HYPERLINK("http://141.218.60.56/~jnz1568/getInfo.php?workbook=10_02.xlsx&amp;sheet=A0&amp;row=260&amp;col=7&amp;number=&amp;sourceID=32","")</f>
        <v/>
      </c>
      <c r="H260" s="4" t="str">
        <f>HYPERLINK("http://141.218.60.56/~jnz1568/getInfo.php?workbook=10_02.xlsx&amp;sheet=A0&amp;row=260&amp;col=8&amp;number=7703&amp;sourceID=32","7703")</f>
        <v>7703</v>
      </c>
      <c r="I260" s="4" t="str">
        <f>HYPERLINK("http://141.218.60.56/~jnz1568/getInfo.php?workbook=10_02.xlsx&amp;sheet=A0&amp;row=260&amp;col=9&amp;number=0.00359&amp;sourceID=32","0.00359")</f>
        <v>0.00359</v>
      </c>
      <c r="J260" s="4" t="str">
        <f>HYPERLINK("http://141.218.60.56/~jnz1568/getInfo.php?workbook=10_02.xlsx&amp;sheet=A0&amp;row=260&amp;col=10&amp;number=&amp;sourceID=32","")</f>
        <v/>
      </c>
      <c r="K260" s="4" t="str">
        <f>HYPERLINK("http://141.218.60.56/~jnz1568/getInfo.php?workbook=10_02.xlsx&amp;sheet=A0&amp;row=260&amp;col=11&amp;number=4917.7&amp;sourceID=46","4917.7")</f>
        <v>4917.7</v>
      </c>
      <c r="L260" s="4" t="str">
        <f>HYPERLINK("http://141.218.60.56/~jnz1568/getInfo.php?workbook=10_02.xlsx&amp;sheet=A0&amp;row=260&amp;col=12&amp;number=&amp;sourceID=47","")</f>
        <v/>
      </c>
    </row>
    <row r="261" spans="1:12">
      <c r="A261" s="3">
        <v>10</v>
      </c>
      <c r="B261" s="3">
        <v>2</v>
      </c>
      <c r="C261" s="3">
        <v>25</v>
      </c>
      <c r="D261" s="3">
        <v>17</v>
      </c>
      <c r="E261" s="3">
        <f>((1/(INDEX(E0!J$4:J$52,C261,1)-INDEX(E0!J$4:J$52,D261,1))))*100000000</f>
        <v>0</v>
      </c>
      <c r="F261" s="4" t="str">
        <f>HYPERLINK("http://141.218.60.56/~jnz1568/getInfo.php?workbook=10_02.xlsx&amp;sheet=A0&amp;row=261&amp;col=6&amp;number=&amp;sourceID=27","")</f>
        <v/>
      </c>
      <c r="G261" s="4" t="str">
        <f>HYPERLINK("http://141.218.60.56/~jnz1568/getInfo.php?workbook=10_02.xlsx&amp;sheet=A0&amp;row=261&amp;col=7&amp;number=&amp;sourceID=32","")</f>
        <v/>
      </c>
      <c r="H261" s="4" t="str">
        <f>HYPERLINK("http://141.218.60.56/~jnz1568/getInfo.php?workbook=10_02.xlsx&amp;sheet=A0&amp;row=261&amp;col=8&amp;number=&amp;sourceID=32","")</f>
        <v/>
      </c>
      <c r="I261" s="4" t="str">
        <f>HYPERLINK("http://141.218.60.56/~jnz1568/getInfo.php?workbook=10_02.xlsx&amp;sheet=A0&amp;row=261&amp;col=9&amp;number=&amp;sourceID=32","")</f>
        <v/>
      </c>
      <c r="J261" s="4" t="str">
        <f>HYPERLINK("http://141.218.60.56/~jnz1568/getInfo.php?workbook=10_02.xlsx&amp;sheet=A0&amp;row=261&amp;col=10&amp;number=37.2&amp;sourceID=32","37.2")</f>
        <v>37.2</v>
      </c>
      <c r="K261" s="4" t="str">
        <f>HYPERLINK("http://141.218.60.56/~jnz1568/getInfo.php?workbook=10_02.xlsx&amp;sheet=A0&amp;row=261&amp;col=11&amp;number=37.193&amp;sourceID=46","37.193")</f>
        <v>37.193</v>
      </c>
      <c r="L261" s="4" t="str">
        <f>HYPERLINK("http://141.218.60.56/~jnz1568/getInfo.php?workbook=10_02.xlsx&amp;sheet=A0&amp;row=261&amp;col=12&amp;number=&amp;sourceID=47","")</f>
        <v/>
      </c>
    </row>
    <row r="262" spans="1:12">
      <c r="A262" s="3">
        <v>10</v>
      </c>
      <c r="B262" s="3">
        <v>2</v>
      </c>
      <c r="C262" s="3">
        <v>25</v>
      </c>
      <c r="D262" s="3">
        <v>18</v>
      </c>
      <c r="E262" s="3">
        <f>((1/(INDEX(E0!J$4:J$52,C262,1)-INDEX(E0!J$4:J$52,D262,1))))*100000000</f>
        <v>0</v>
      </c>
      <c r="F262" s="4" t="str">
        <f>HYPERLINK("http://141.218.60.56/~jnz1568/getInfo.php?workbook=10_02.xlsx&amp;sheet=A0&amp;row=262&amp;col=6&amp;number=&amp;sourceID=27","")</f>
        <v/>
      </c>
      <c r="G262" s="4" t="str">
        <f>HYPERLINK("http://141.218.60.56/~jnz1568/getInfo.php?workbook=10_02.xlsx&amp;sheet=A0&amp;row=262&amp;col=7&amp;number=&amp;sourceID=32","")</f>
        <v/>
      </c>
      <c r="H262" s="4" t="str">
        <f>HYPERLINK("http://141.218.60.56/~jnz1568/getInfo.php?workbook=10_02.xlsx&amp;sheet=A0&amp;row=262&amp;col=8&amp;number=0.4942&amp;sourceID=32","0.4942")</f>
        <v>0.4942</v>
      </c>
      <c r="I262" s="4" t="str">
        <f>HYPERLINK("http://141.218.60.56/~jnz1568/getInfo.php?workbook=10_02.xlsx&amp;sheet=A0&amp;row=262&amp;col=9&amp;number=&amp;sourceID=32","")</f>
        <v/>
      </c>
      <c r="J262" s="4" t="str">
        <f>HYPERLINK("http://141.218.60.56/~jnz1568/getInfo.php?workbook=10_02.xlsx&amp;sheet=A0&amp;row=262&amp;col=10&amp;number=&amp;sourceID=32","")</f>
        <v/>
      </c>
      <c r="K262" s="4" t="str">
        <f>HYPERLINK("http://141.218.60.56/~jnz1568/getInfo.php?workbook=10_02.xlsx&amp;sheet=A0&amp;row=262&amp;col=11&amp;number=&amp;sourceID=46","")</f>
        <v/>
      </c>
      <c r="L262" s="4" t="str">
        <f>HYPERLINK("http://141.218.60.56/~jnz1568/getInfo.php?workbook=10_02.xlsx&amp;sheet=A0&amp;row=262&amp;col=12&amp;number=&amp;sourceID=47","")</f>
        <v/>
      </c>
    </row>
    <row r="263" spans="1:12">
      <c r="A263" s="3">
        <v>10</v>
      </c>
      <c r="B263" s="3">
        <v>2</v>
      </c>
      <c r="C263" s="3">
        <v>25</v>
      </c>
      <c r="D263" s="3">
        <v>20</v>
      </c>
      <c r="E263" s="3">
        <f>((1/(INDEX(E0!J$4:J$52,C263,1)-INDEX(E0!J$4:J$52,D263,1))))*100000000</f>
        <v>0</v>
      </c>
      <c r="F263" s="4" t="str">
        <f>HYPERLINK("http://141.218.60.56/~jnz1568/getInfo.php?workbook=10_02.xlsx&amp;sheet=A0&amp;row=263&amp;col=6&amp;number=&amp;sourceID=27","")</f>
        <v/>
      </c>
      <c r="G263" s="4" t="str">
        <f>HYPERLINK("http://141.218.60.56/~jnz1568/getInfo.php?workbook=10_02.xlsx&amp;sheet=A0&amp;row=263&amp;col=7&amp;number=&amp;sourceID=32","")</f>
        <v/>
      </c>
      <c r="H263" s="4" t="str">
        <f>HYPERLINK("http://141.218.60.56/~jnz1568/getInfo.php?workbook=10_02.xlsx&amp;sheet=A0&amp;row=263&amp;col=8&amp;number=&amp;sourceID=32","")</f>
        <v/>
      </c>
      <c r="I263" s="4" t="str">
        <f>HYPERLINK("http://141.218.60.56/~jnz1568/getInfo.php?workbook=10_02.xlsx&amp;sheet=A0&amp;row=263&amp;col=9&amp;number=&amp;sourceID=32","")</f>
        <v/>
      </c>
      <c r="J263" s="4" t="str">
        <f>HYPERLINK("http://141.218.60.56/~jnz1568/getInfo.php?workbook=10_02.xlsx&amp;sheet=A0&amp;row=263&amp;col=10&amp;number=4.125e-09&amp;sourceID=32","4.125e-09")</f>
        <v>4.125e-09</v>
      </c>
      <c r="K263" s="4" t="str">
        <f>HYPERLINK("http://141.218.60.56/~jnz1568/getInfo.php?workbook=10_02.xlsx&amp;sheet=A0&amp;row=263&amp;col=11&amp;number=&amp;sourceID=46","")</f>
        <v/>
      </c>
      <c r="L263" s="4" t="str">
        <f>HYPERLINK("http://141.218.60.56/~jnz1568/getInfo.php?workbook=10_02.xlsx&amp;sheet=A0&amp;row=263&amp;col=12&amp;number=&amp;sourceID=47","")</f>
        <v/>
      </c>
    </row>
    <row r="264" spans="1:12">
      <c r="A264" s="3">
        <v>10</v>
      </c>
      <c r="B264" s="3">
        <v>2</v>
      </c>
      <c r="C264" s="3">
        <v>25</v>
      </c>
      <c r="D264" s="3">
        <v>22</v>
      </c>
      <c r="E264" s="3">
        <f>((1/(INDEX(E0!J$4:J$52,C264,1)-INDEX(E0!J$4:J$52,D264,1))))*100000000</f>
        <v>0</v>
      </c>
      <c r="F264" s="4" t="str">
        <f>HYPERLINK("http://141.218.60.56/~jnz1568/getInfo.php?workbook=10_02.xlsx&amp;sheet=A0&amp;row=264&amp;col=6&amp;number=&amp;sourceID=27","")</f>
        <v/>
      </c>
      <c r="G264" s="4" t="str">
        <f>HYPERLINK("http://141.218.60.56/~jnz1568/getInfo.php?workbook=10_02.xlsx&amp;sheet=A0&amp;row=264&amp;col=7&amp;number=483500&amp;sourceID=32","483500")</f>
        <v>483500</v>
      </c>
      <c r="H264" s="4" t="str">
        <f>HYPERLINK("http://141.218.60.56/~jnz1568/getInfo.php?workbook=10_02.xlsx&amp;sheet=A0&amp;row=264&amp;col=8&amp;number=&amp;sourceID=32","")</f>
        <v/>
      </c>
      <c r="I264" s="4" t="str">
        <f>HYPERLINK("http://141.218.60.56/~jnz1568/getInfo.php?workbook=10_02.xlsx&amp;sheet=A0&amp;row=264&amp;col=9&amp;number=&amp;sourceID=32","")</f>
        <v/>
      </c>
      <c r="J264" s="4" t="str">
        <f>HYPERLINK("http://141.218.60.56/~jnz1568/getInfo.php?workbook=10_02.xlsx&amp;sheet=A0&amp;row=264&amp;col=10&amp;number=1.373e-07&amp;sourceID=32","1.373e-07")</f>
        <v>1.373e-07</v>
      </c>
      <c r="K264" s="4" t="str">
        <f>HYPERLINK("http://141.218.60.56/~jnz1568/getInfo.php?workbook=10_02.xlsx&amp;sheet=A0&amp;row=264&amp;col=11&amp;number=528280&amp;sourceID=46","528280")</f>
        <v>528280</v>
      </c>
      <c r="L264" s="4" t="str">
        <f>HYPERLINK("http://141.218.60.56/~jnz1568/getInfo.php?workbook=10_02.xlsx&amp;sheet=A0&amp;row=264&amp;col=12&amp;number=&amp;sourceID=47","")</f>
        <v/>
      </c>
    </row>
    <row r="265" spans="1:12">
      <c r="A265" s="3">
        <v>10</v>
      </c>
      <c r="B265" s="3">
        <v>2</v>
      </c>
      <c r="C265" s="3">
        <v>26</v>
      </c>
      <c r="D265" s="3">
        <v>1</v>
      </c>
      <c r="E265" s="3">
        <f>((1/(INDEX(E0!J$4:J$52,C265,1)-INDEX(E0!J$4:J$52,D265,1))))*100000000</f>
        <v>0</v>
      </c>
      <c r="F265" s="4" t="str">
        <f>HYPERLINK("http://141.218.60.56/~jnz1568/getInfo.php?workbook=10_02.xlsx&amp;sheet=A0&amp;row=265&amp;col=6&amp;number=&amp;sourceID=27","")</f>
        <v/>
      </c>
      <c r="G265" s="4" t="str">
        <f>HYPERLINK("http://141.218.60.56/~jnz1568/getInfo.php?workbook=10_02.xlsx&amp;sheet=A0&amp;row=265&amp;col=7&amp;number=&amp;sourceID=32","")</f>
        <v/>
      </c>
      <c r="H265" s="4" t="str">
        <f>HYPERLINK("http://141.218.60.56/~jnz1568/getInfo.php?workbook=10_02.xlsx&amp;sheet=A0&amp;row=265&amp;col=8&amp;number=&amp;sourceID=32","")</f>
        <v/>
      </c>
      <c r="I265" s="4" t="str">
        <f>HYPERLINK("http://141.218.60.56/~jnz1568/getInfo.php?workbook=10_02.xlsx&amp;sheet=A0&amp;row=265&amp;col=9&amp;number=&amp;sourceID=32","")</f>
        <v/>
      </c>
      <c r="J265" s="4" t="str">
        <f>HYPERLINK("http://141.218.60.56/~jnz1568/getInfo.php?workbook=10_02.xlsx&amp;sheet=A0&amp;row=265&amp;col=10&amp;number=&amp;sourceID=32","")</f>
        <v/>
      </c>
      <c r="K265" s="4" t="str">
        <f>HYPERLINK("http://141.218.60.56/~jnz1568/getInfo.php?workbook=10_02.xlsx&amp;sheet=A0&amp;row=265&amp;col=11&amp;number=10603&amp;sourceID=46","10603")</f>
        <v>10603</v>
      </c>
      <c r="L265" s="4" t="str">
        <f>HYPERLINK("http://141.218.60.56/~jnz1568/getInfo.php?workbook=10_02.xlsx&amp;sheet=A0&amp;row=265&amp;col=12&amp;number=&amp;sourceID=47","")</f>
        <v/>
      </c>
    </row>
    <row r="266" spans="1:12">
      <c r="A266" s="3">
        <v>10</v>
      </c>
      <c r="B266" s="3">
        <v>2</v>
      </c>
      <c r="C266" s="3">
        <v>26</v>
      </c>
      <c r="D266" s="3">
        <v>2</v>
      </c>
      <c r="E266" s="3">
        <f>((1/(INDEX(E0!J$4:J$52,C266,1)-INDEX(E0!J$4:J$52,D266,1))))*100000000</f>
        <v>0</v>
      </c>
      <c r="F266" s="4" t="str">
        <f>HYPERLINK("http://141.218.60.56/~jnz1568/getInfo.php?workbook=10_02.xlsx&amp;sheet=A0&amp;row=266&amp;col=6&amp;number=&amp;sourceID=27","")</f>
        <v/>
      </c>
      <c r="G266" s="4" t="str">
        <f>HYPERLINK("http://141.218.60.56/~jnz1568/getInfo.php?workbook=10_02.xlsx&amp;sheet=A0&amp;row=266&amp;col=7&amp;number=&amp;sourceID=32","")</f>
        <v/>
      </c>
      <c r="H266" s="4" t="str">
        <f>HYPERLINK("http://141.218.60.56/~jnz1568/getInfo.php?workbook=10_02.xlsx&amp;sheet=A0&amp;row=266&amp;col=8&amp;number=&amp;sourceID=32","")</f>
        <v/>
      </c>
      <c r="I266" s="4" t="str">
        <f>HYPERLINK("http://141.218.60.56/~jnz1568/getInfo.php?workbook=10_02.xlsx&amp;sheet=A0&amp;row=266&amp;col=9&amp;number=&amp;sourceID=32","")</f>
        <v/>
      </c>
      <c r="J266" s="4" t="str">
        <f>HYPERLINK("http://141.218.60.56/~jnz1568/getInfo.php?workbook=10_02.xlsx&amp;sheet=A0&amp;row=266&amp;col=10&amp;number=4.348e-05&amp;sourceID=32","4.348e-05")</f>
        <v>4.348e-05</v>
      </c>
      <c r="K266" s="4" t="str">
        <f>HYPERLINK("http://141.218.60.56/~jnz1568/getInfo.php?workbook=10_02.xlsx&amp;sheet=A0&amp;row=266&amp;col=11&amp;number=3685.2&amp;sourceID=46","3685.2")</f>
        <v>3685.2</v>
      </c>
      <c r="L266" s="4" t="str">
        <f>HYPERLINK("http://141.218.60.56/~jnz1568/getInfo.php?workbook=10_02.xlsx&amp;sheet=A0&amp;row=266&amp;col=12&amp;number=&amp;sourceID=47","")</f>
        <v/>
      </c>
    </row>
    <row r="267" spans="1:12">
      <c r="A267" s="3">
        <v>10</v>
      </c>
      <c r="B267" s="3">
        <v>2</v>
      </c>
      <c r="C267" s="3">
        <v>26</v>
      </c>
      <c r="D267" s="3">
        <v>4</v>
      </c>
      <c r="E267" s="3">
        <f>((1/(INDEX(E0!J$4:J$52,C267,1)-INDEX(E0!J$4:J$52,D267,1))))*100000000</f>
        <v>0</v>
      </c>
      <c r="F267" s="4" t="str">
        <f>HYPERLINK("http://141.218.60.56/~jnz1568/getInfo.php?workbook=10_02.xlsx&amp;sheet=A0&amp;row=267&amp;col=6&amp;number=&amp;sourceID=27","")</f>
        <v/>
      </c>
      <c r="G267" s="4" t="str">
        <f>HYPERLINK("http://141.218.60.56/~jnz1568/getInfo.php?workbook=10_02.xlsx&amp;sheet=A0&amp;row=267&amp;col=7&amp;number=&amp;sourceID=32","")</f>
        <v/>
      </c>
      <c r="H267" s="4" t="str">
        <f>HYPERLINK("http://141.218.60.56/~jnz1568/getInfo.php?workbook=10_02.xlsx&amp;sheet=A0&amp;row=267&amp;col=8&amp;number=13570000&amp;sourceID=32","13570000")</f>
        <v>13570000</v>
      </c>
      <c r="I267" s="4" t="str">
        <f>HYPERLINK("http://141.218.60.56/~jnz1568/getInfo.php?workbook=10_02.xlsx&amp;sheet=A0&amp;row=267&amp;col=9&amp;number=&amp;sourceID=32","")</f>
        <v/>
      </c>
      <c r="J267" s="4" t="str">
        <f>HYPERLINK("http://141.218.60.56/~jnz1568/getInfo.php?workbook=10_02.xlsx&amp;sheet=A0&amp;row=267&amp;col=10&amp;number=&amp;sourceID=32","")</f>
        <v/>
      </c>
      <c r="K267" s="4" t="str">
        <f>HYPERLINK("http://141.218.60.56/~jnz1568/getInfo.php?workbook=10_02.xlsx&amp;sheet=A0&amp;row=267&amp;col=11&amp;number=13807000&amp;sourceID=46","13807000")</f>
        <v>13807000</v>
      </c>
      <c r="L267" s="4" t="str">
        <f>HYPERLINK("http://141.218.60.56/~jnz1568/getInfo.php?workbook=10_02.xlsx&amp;sheet=A0&amp;row=267&amp;col=12&amp;number=&amp;sourceID=47","")</f>
        <v/>
      </c>
    </row>
    <row r="268" spans="1:12">
      <c r="A268" s="3">
        <v>10</v>
      </c>
      <c r="B268" s="3">
        <v>2</v>
      </c>
      <c r="C268" s="3">
        <v>26</v>
      </c>
      <c r="D268" s="3">
        <v>5</v>
      </c>
      <c r="E268" s="3">
        <f>((1/(INDEX(E0!J$4:J$52,C268,1)-INDEX(E0!J$4:J$52,D268,1))))*100000000</f>
        <v>0</v>
      </c>
      <c r="F268" s="4" t="str">
        <f>HYPERLINK("http://141.218.60.56/~jnz1568/getInfo.php?workbook=10_02.xlsx&amp;sheet=A0&amp;row=268&amp;col=6&amp;number=&amp;sourceID=27","")</f>
        <v/>
      </c>
      <c r="G268" s="4" t="str">
        <f>HYPERLINK("http://141.218.60.56/~jnz1568/getInfo.php?workbook=10_02.xlsx&amp;sheet=A0&amp;row=268&amp;col=7&amp;number=&amp;sourceID=32","")</f>
        <v/>
      </c>
      <c r="H268" s="4" t="str">
        <f>HYPERLINK("http://141.218.60.56/~jnz1568/getInfo.php?workbook=10_02.xlsx&amp;sheet=A0&amp;row=268&amp;col=8&amp;number=6469000&amp;sourceID=32","6469000")</f>
        <v>6469000</v>
      </c>
      <c r="I268" s="4" t="str">
        <f>HYPERLINK("http://141.218.60.56/~jnz1568/getInfo.php?workbook=10_02.xlsx&amp;sheet=A0&amp;row=268&amp;col=9&amp;number=0.1816&amp;sourceID=32","0.1816")</f>
        <v>0.1816</v>
      </c>
      <c r="J268" s="4" t="str">
        <f>HYPERLINK("http://141.218.60.56/~jnz1568/getInfo.php?workbook=10_02.xlsx&amp;sheet=A0&amp;row=268&amp;col=10&amp;number=&amp;sourceID=32","")</f>
        <v/>
      </c>
      <c r="K268" s="4" t="str">
        <f>HYPERLINK("http://141.218.60.56/~jnz1568/getInfo.php?workbook=10_02.xlsx&amp;sheet=A0&amp;row=268&amp;col=11&amp;number=6647800&amp;sourceID=46","6647800")</f>
        <v>6647800</v>
      </c>
      <c r="L268" s="4" t="str">
        <f>HYPERLINK("http://141.218.60.56/~jnz1568/getInfo.php?workbook=10_02.xlsx&amp;sheet=A0&amp;row=268&amp;col=12&amp;number=&amp;sourceID=47","")</f>
        <v/>
      </c>
    </row>
    <row r="269" spans="1:12">
      <c r="A269" s="3">
        <v>10</v>
      </c>
      <c r="B269" s="3">
        <v>2</v>
      </c>
      <c r="C269" s="3">
        <v>26</v>
      </c>
      <c r="D269" s="3">
        <v>6</v>
      </c>
      <c r="E269" s="3">
        <f>((1/(INDEX(E0!J$4:J$52,C269,1)-INDEX(E0!J$4:J$52,D269,1))))*100000000</f>
        <v>0</v>
      </c>
      <c r="F269" s="4" t="str">
        <f>HYPERLINK("http://141.218.60.56/~jnz1568/getInfo.php?workbook=10_02.xlsx&amp;sheet=A0&amp;row=269&amp;col=6&amp;number=&amp;sourceID=27","")</f>
        <v/>
      </c>
      <c r="G269" s="4" t="str">
        <f>HYPERLINK("http://141.218.60.56/~jnz1568/getInfo.php?workbook=10_02.xlsx&amp;sheet=A0&amp;row=269&amp;col=7&amp;number=&amp;sourceID=32","")</f>
        <v/>
      </c>
      <c r="H269" s="4" t="str">
        <f>HYPERLINK("http://141.218.60.56/~jnz1568/getInfo.php?workbook=10_02.xlsx&amp;sheet=A0&amp;row=269&amp;col=8&amp;number=&amp;sourceID=32","")</f>
        <v/>
      </c>
      <c r="I269" s="4" t="str">
        <f>HYPERLINK("http://141.218.60.56/~jnz1568/getInfo.php?workbook=10_02.xlsx&amp;sheet=A0&amp;row=269&amp;col=9&amp;number=&amp;sourceID=32","")</f>
        <v/>
      </c>
      <c r="J269" s="4" t="str">
        <f>HYPERLINK("http://141.218.60.56/~jnz1568/getInfo.php?workbook=10_02.xlsx&amp;sheet=A0&amp;row=269&amp;col=10&amp;number=&amp;sourceID=32","")</f>
        <v/>
      </c>
      <c r="K269" s="4" t="str">
        <f>HYPERLINK("http://141.218.60.56/~jnz1568/getInfo.php?workbook=10_02.xlsx&amp;sheet=A0&amp;row=269&amp;col=11&amp;number=2153.4&amp;sourceID=46","2153.4")</f>
        <v>2153.4</v>
      </c>
      <c r="L269" s="4" t="str">
        <f>HYPERLINK("http://141.218.60.56/~jnz1568/getInfo.php?workbook=10_02.xlsx&amp;sheet=A0&amp;row=269&amp;col=12&amp;number=&amp;sourceID=47","")</f>
        <v/>
      </c>
    </row>
    <row r="270" spans="1:12">
      <c r="A270" s="3">
        <v>10</v>
      </c>
      <c r="B270" s="3">
        <v>2</v>
      </c>
      <c r="C270" s="3">
        <v>26</v>
      </c>
      <c r="D270" s="3">
        <v>7</v>
      </c>
      <c r="E270" s="3">
        <f>((1/(INDEX(E0!J$4:J$52,C270,1)-INDEX(E0!J$4:J$52,D270,1))))*100000000</f>
        <v>0</v>
      </c>
      <c r="F270" s="4" t="str">
        <f>HYPERLINK("http://141.218.60.56/~jnz1568/getInfo.php?workbook=10_02.xlsx&amp;sheet=A0&amp;row=270&amp;col=6&amp;number=&amp;sourceID=27","")</f>
        <v/>
      </c>
      <c r="G270" s="4" t="str">
        <f>HYPERLINK("http://141.218.60.56/~jnz1568/getInfo.php?workbook=10_02.xlsx&amp;sheet=A0&amp;row=270&amp;col=7&amp;number=&amp;sourceID=32","")</f>
        <v/>
      </c>
      <c r="H270" s="4" t="str">
        <f>HYPERLINK("http://141.218.60.56/~jnz1568/getInfo.php?workbook=10_02.xlsx&amp;sheet=A0&amp;row=270&amp;col=8&amp;number=12840000&amp;sourceID=32","12840000")</f>
        <v>12840000</v>
      </c>
      <c r="I270" s="4" t="str">
        <f>HYPERLINK("http://141.218.60.56/~jnz1568/getInfo.php?workbook=10_02.xlsx&amp;sheet=A0&amp;row=270&amp;col=9&amp;number=&amp;sourceID=32","")</f>
        <v/>
      </c>
      <c r="J270" s="4" t="str">
        <f>HYPERLINK("http://141.218.60.56/~jnz1568/getInfo.php?workbook=10_02.xlsx&amp;sheet=A0&amp;row=270&amp;col=10&amp;number=&amp;sourceID=32","")</f>
        <v/>
      </c>
      <c r="K270" s="4" t="str">
        <f>HYPERLINK("http://141.218.60.56/~jnz1568/getInfo.php?workbook=10_02.xlsx&amp;sheet=A0&amp;row=270&amp;col=11&amp;number=12343000&amp;sourceID=46","12343000")</f>
        <v>12343000</v>
      </c>
      <c r="L270" s="4" t="str">
        <f>HYPERLINK("http://141.218.60.56/~jnz1568/getInfo.php?workbook=10_02.xlsx&amp;sheet=A0&amp;row=270&amp;col=12&amp;number=&amp;sourceID=47","")</f>
        <v/>
      </c>
    </row>
    <row r="271" spans="1:12">
      <c r="A271" s="3">
        <v>10</v>
      </c>
      <c r="B271" s="3">
        <v>2</v>
      </c>
      <c r="C271" s="3">
        <v>26</v>
      </c>
      <c r="D271" s="3">
        <v>8</v>
      </c>
      <c r="E271" s="3">
        <f>((1/(INDEX(E0!J$4:J$52,C271,1)-INDEX(E0!J$4:J$52,D271,1))))*100000000</f>
        <v>0</v>
      </c>
      <c r="F271" s="4" t="str">
        <f>HYPERLINK("http://141.218.60.56/~jnz1568/getInfo.php?workbook=10_02.xlsx&amp;sheet=A0&amp;row=271&amp;col=6&amp;number=&amp;sourceID=27","")</f>
        <v/>
      </c>
      <c r="G271" s="4" t="str">
        <f>HYPERLINK("http://141.218.60.56/~jnz1568/getInfo.php?workbook=10_02.xlsx&amp;sheet=A0&amp;row=271&amp;col=7&amp;number=&amp;sourceID=32","")</f>
        <v/>
      </c>
      <c r="H271" s="4" t="str">
        <f>HYPERLINK("http://141.218.60.56/~jnz1568/getInfo.php?workbook=10_02.xlsx&amp;sheet=A0&amp;row=271&amp;col=8&amp;number=&amp;sourceID=32","")</f>
        <v/>
      </c>
      <c r="I271" s="4" t="str">
        <f>HYPERLINK("http://141.218.60.56/~jnz1568/getInfo.php?workbook=10_02.xlsx&amp;sheet=A0&amp;row=271&amp;col=9&amp;number=&amp;sourceID=32","")</f>
        <v/>
      </c>
      <c r="J271" s="4" t="str">
        <f>HYPERLINK("http://141.218.60.56/~jnz1568/getInfo.php?workbook=10_02.xlsx&amp;sheet=A0&amp;row=271&amp;col=10&amp;number=1.048e-08&amp;sourceID=32","1.048e-08")</f>
        <v>1.048e-08</v>
      </c>
      <c r="K271" s="4" t="str">
        <f>HYPERLINK("http://141.218.60.56/~jnz1568/getInfo.php?workbook=10_02.xlsx&amp;sheet=A0&amp;row=271&amp;col=11&amp;number=42.441&amp;sourceID=46","42.441")</f>
        <v>42.441</v>
      </c>
      <c r="L271" s="4" t="str">
        <f>HYPERLINK("http://141.218.60.56/~jnz1568/getInfo.php?workbook=10_02.xlsx&amp;sheet=A0&amp;row=271&amp;col=12&amp;number=&amp;sourceID=47","")</f>
        <v/>
      </c>
    </row>
    <row r="272" spans="1:12">
      <c r="A272" s="3">
        <v>10</v>
      </c>
      <c r="B272" s="3">
        <v>2</v>
      </c>
      <c r="C272" s="3">
        <v>26</v>
      </c>
      <c r="D272" s="3">
        <v>10</v>
      </c>
      <c r="E272" s="3">
        <f>((1/(INDEX(E0!J$4:J$52,C272,1)-INDEX(E0!J$4:J$52,D272,1))))*100000000</f>
        <v>0</v>
      </c>
      <c r="F272" s="4" t="str">
        <f>HYPERLINK("http://141.218.60.56/~jnz1568/getInfo.php?workbook=10_02.xlsx&amp;sheet=A0&amp;row=272&amp;col=6&amp;number=&amp;sourceID=27","")</f>
        <v/>
      </c>
      <c r="G272" s="4" t="str">
        <f>HYPERLINK("http://141.218.60.56/~jnz1568/getInfo.php?workbook=10_02.xlsx&amp;sheet=A0&amp;row=272&amp;col=7&amp;number=&amp;sourceID=32","")</f>
        <v/>
      </c>
      <c r="H272" s="4" t="str">
        <f>HYPERLINK("http://141.218.60.56/~jnz1568/getInfo.php?workbook=10_02.xlsx&amp;sheet=A0&amp;row=272&amp;col=8&amp;number=1397000&amp;sourceID=32","1397000")</f>
        <v>1397000</v>
      </c>
      <c r="I272" s="4" t="str">
        <f>HYPERLINK("http://141.218.60.56/~jnz1568/getInfo.php?workbook=10_02.xlsx&amp;sheet=A0&amp;row=272&amp;col=9&amp;number=&amp;sourceID=32","")</f>
        <v/>
      </c>
      <c r="J272" s="4" t="str">
        <f>HYPERLINK("http://141.218.60.56/~jnz1568/getInfo.php?workbook=10_02.xlsx&amp;sheet=A0&amp;row=272&amp;col=10&amp;number=&amp;sourceID=32","")</f>
        <v/>
      </c>
      <c r="K272" s="4" t="str">
        <f>HYPERLINK("http://141.218.60.56/~jnz1568/getInfo.php?workbook=10_02.xlsx&amp;sheet=A0&amp;row=272&amp;col=11&amp;number=1422400&amp;sourceID=46","1422400")</f>
        <v>1422400</v>
      </c>
      <c r="L272" s="4" t="str">
        <f>HYPERLINK("http://141.218.60.56/~jnz1568/getInfo.php?workbook=10_02.xlsx&amp;sheet=A0&amp;row=272&amp;col=12&amp;number=&amp;sourceID=47","")</f>
        <v/>
      </c>
    </row>
    <row r="273" spans="1:12">
      <c r="A273" s="3">
        <v>10</v>
      </c>
      <c r="B273" s="3">
        <v>2</v>
      </c>
      <c r="C273" s="3">
        <v>26</v>
      </c>
      <c r="D273" s="3">
        <v>11</v>
      </c>
      <c r="E273" s="3">
        <f>((1/(INDEX(E0!J$4:J$52,C273,1)-INDEX(E0!J$4:J$52,D273,1))))*100000000</f>
        <v>0</v>
      </c>
      <c r="F273" s="4" t="str">
        <f>HYPERLINK("http://141.218.60.56/~jnz1568/getInfo.php?workbook=10_02.xlsx&amp;sheet=A0&amp;row=273&amp;col=6&amp;number=&amp;sourceID=27","")</f>
        <v/>
      </c>
      <c r="G273" s="4" t="str">
        <f>HYPERLINK("http://141.218.60.56/~jnz1568/getInfo.php?workbook=10_02.xlsx&amp;sheet=A0&amp;row=273&amp;col=7&amp;number=&amp;sourceID=32","")</f>
        <v/>
      </c>
      <c r="H273" s="4" t="str">
        <f>HYPERLINK("http://141.218.60.56/~jnz1568/getInfo.php?workbook=10_02.xlsx&amp;sheet=A0&amp;row=273&amp;col=8&amp;number=&amp;sourceID=32","")</f>
        <v/>
      </c>
      <c r="I273" s="4" t="str">
        <f>HYPERLINK("http://141.218.60.56/~jnz1568/getInfo.php?workbook=10_02.xlsx&amp;sheet=A0&amp;row=273&amp;col=9&amp;number=&amp;sourceID=32","")</f>
        <v/>
      </c>
      <c r="J273" s="4" t="str">
        <f>HYPERLINK("http://141.218.60.56/~jnz1568/getInfo.php?workbook=10_02.xlsx&amp;sheet=A0&amp;row=273&amp;col=10&amp;number=&amp;sourceID=32","")</f>
        <v/>
      </c>
      <c r="K273" s="4" t="str">
        <f>HYPERLINK("http://141.218.60.56/~jnz1568/getInfo.php?workbook=10_02.xlsx&amp;sheet=A0&amp;row=273&amp;col=11&amp;number=21.78&amp;sourceID=46","21.78")</f>
        <v>21.78</v>
      </c>
      <c r="L273" s="4" t="str">
        <f>HYPERLINK("http://141.218.60.56/~jnz1568/getInfo.php?workbook=10_02.xlsx&amp;sheet=A0&amp;row=273&amp;col=12&amp;number=&amp;sourceID=47","")</f>
        <v/>
      </c>
    </row>
    <row r="274" spans="1:12">
      <c r="A274" s="3">
        <v>10</v>
      </c>
      <c r="B274" s="3">
        <v>2</v>
      </c>
      <c r="C274" s="3">
        <v>26</v>
      </c>
      <c r="D274" s="3">
        <v>12</v>
      </c>
      <c r="E274" s="3">
        <f>((1/(INDEX(E0!J$4:J$52,C274,1)-INDEX(E0!J$4:J$52,D274,1))))*100000000</f>
        <v>0</v>
      </c>
      <c r="F274" s="4" t="str">
        <f>HYPERLINK("http://141.218.60.56/~jnz1568/getInfo.php?workbook=10_02.xlsx&amp;sheet=A0&amp;row=274&amp;col=6&amp;number=&amp;sourceID=27","")</f>
        <v/>
      </c>
      <c r="G274" s="4" t="str">
        <f>HYPERLINK("http://141.218.60.56/~jnz1568/getInfo.php?workbook=10_02.xlsx&amp;sheet=A0&amp;row=274&amp;col=7&amp;number=&amp;sourceID=32","")</f>
        <v/>
      </c>
      <c r="H274" s="4" t="str">
        <f>HYPERLINK("http://141.218.60.56/~jnz1568/getInfo.php?workbook=10_02.xlsx&amp;sheet=A0&amp;row=274&amp;col=8&amp;number=661900&amp;sourceID=32","661900")</f>
        <v>661900</v>
      </c>
      <c r="I274" s="4" t="str">
        <f>HYPERLINK("http://141.218.60.56/~jnz1568/getInfo.php?workbook=10_02.xlsx&amp;sheet=A0&amp;row=274&amp;col=9&amp;number=0.007051&amp;sourceID=32","0.007051")</f>
        <v>0.007051</v>
      </c>
      <c r="J274" s="4" t="str">
        <f>HYPERLINK("http://141.218.60.56/~jnz1568/getInfo.php?workbook=10_02.xlsx&amp;sheet=A0&amp;row=274&amp;col=10&amp;number=&amp;sourceID=32","")</f>
        <v/>
      </c>
      <c r="K274" s="4" t="str">
        <f>HYPERLINK("http://141.218.60.56/~jnz1568/getInfo.php?workbook=10_02.xlsx&amp;sheet=A0&amp;row=274&amp;col=11&amp;number=679420&amp;sourceID=46","679420")</f>
        <v>679420</v>
      </c>
      <c r="L274" s="4" t="str">
        <f>HYPERLINK("http://141.218.60.56/~jnz1568/getInfo.php?workbook=10_02.xlsx&amp;sheet=A0&amp;row=274&amp;col=12&amp;number=&amp;sourceID=47","")</f>
        <v/>
      </c>
    </row>
    <row r="275" spans="1:12">
      <c r="A275" s="3">
        <v>10</v>
      </c>
      <c r="B275" s="3">
        <v>2</v>
      </c>
      <c r="C275" s="3">
        <v>26</v>
      </c>
      <c r="D275" s="3">
        <v>13</v>
      </c>
      <c r="E275" s="3">
        <f>((1/(INDEX(E0!J$4:J$52,C275,1)-INDEX(E0!J$4:J$52,D275,1))))*100000000</f>
        <v>0</v>
      </c>
      <c r="F275" s="4" t="str">
        <f>HYPERLINK("http://141.218.60.56/~jnz1568/getInfo.php?workbook=10_02.xlsx&amp;sheet=A0&amp;row=275&amp;col=6&amp;number=&amp;sourceID=27","")</f>
        <v/>
      </c>
      <c r="G275" s="4" t="str">
        <f>HYPERLINK("http://141.218.60.56/~jnz1568/getInfo.php?workbook=10_02.xlsx&amp;sheet=A0&amp;row=275&amp;col=7&amp;number=&amp;sourceID=32","")</f>
        <v/>
      </c>
      <c r="H275" s="4" t="str">
        <f>HYPERLINK("http://141.218.60.56/~jnz1568/getInfo.php?workbook=10_02.xlsx&amp;sheet=A0&amp;row=275&amp;col=8&amp;number=&amp;sourceID=32","")</f>
        <v/>
      </c>
      <c r="I275" s="4" t="str">
        <f>HYPERLINK("http://141.218.60.56/~jnz1568/getInfo.php?workbook=10_02.xlsx&amp;sheet=A0&amp;row=275&amp;col=9&amp;number=&amp;sourceID=32","")</f>
        <v/>
      </c>
      <c r="J275" s="4" t="str">
        <f>HYPERLINK("http://141.218.60.56/~jnz1568/getInfo.php?workbook=10_02.xlsx&amp;sheet=A0&amp;row=275&amp;col=10&amp;number=5.374&amp;sourceID=32","5.374")</f>
        <v>5.374</v>
      </c>
      <c r="K275" s="4" t="str">
        <f>HYPERLINK("http://141.218.60.56/~jnz1568/getInfo.php?workbook=10_02.xlsx&amp;sheet=A0&amp;row=275&amp;col=11&amp;number=10.212&amp;sourceID=46","10.212")</f>
        <v>10.212</v>
      </c>
      <c r="L275" s="4" t="str">
        <f>HYPERLINK("http://141.218.60.56/~jnz1568/getInfo.php?workbook=10_02.xlsx&amp;sheet=A0&amp;row=275&amp;col=12&amp;number=&amp;sourceID=47","")</f>
        <v/>
      </c>
    </row>
    <row r="276" spans="1:12">
      <c r="A276" s="3">
        <v>10</v>
      </c>
      <c r="B276" s="3">
        <v>2</v>
      </c>
      <c r="C276" s="3">
        <v>26</v>
      </c>
      <c r="D276" s="3">
        <v>14</v>
      </c>
      <c r="E276" s="3">
        <f>((1/(INDEX(E0!J$4:J$52,C276,1)-INDEX(E0!J$4:J$52,D276,1))))*100000000</f>
        <v>0</v>
      </c>
      <c r="F276" s="4" t="str">
        <f>HYPERLINK("http://141.218.60.56/~jnz1568/getInfo.php?workbook=10_02.xlsx&amp;sheet=A0&amp;row=276&amp;col=6&amp;number=&amp;sourceID=27","")</f>
        <v/>
      </c>
      <c r="G276" s="4" t="str">
        <f>HYPERLINK("http://141.218.60.56/~jnz1568/getInfo.php?workbook=10_02.xlsx&amp;sheet=A0&amp;row=276&amp;col=7&amp;number=64020000000&amp;sourceID=32","64020000000")</f>
        <v>64020000000</v>
      </c>
      <c r="H276" s="4" t="str">
        <f>HYPERLINK("http://141.218.60.56/~jnz1568/getInfo.php?workbook=10_02.xlsx&amp;sheet=A0&amp;row=276&amp;col=8&amp;number=&amp;sourceID=32","")</f>
        <v/>
      </c>
      <c r="I276" s="4" t="str">
        <f>HYPERLINK("http://141.218.60.56/~jnz1568/getInfo.php?workbook=10_02.xlsx&amp;sheet=A0&amp;row=276&amp;col=9&amp;number=&amp;sourceID=32","")</f>
        <v/>
      </c>
      <c r="J276" s="4" t="str">
        <f>HYPERLINK("http://141.218.60.56/~jnz1568/getInfo.php?workbook=10_02.xlsx&amp;sheet=A0&amp;row=276&amp;col=10&amp;number=30.23&amp;sourceID=32","30.23")</f>
        <v>30.23</v>
      </c>
      <c r="K276" s="4" t="str">
        <f>HYPERLINK("http://141.218.60.56/~jnz1568/getInfo.php?workbook=10_02.xlsx&amp;sheet=A0&amp;row=276&amp;col=11&amp;number=61872000000&amp;sourceID=46","61872000000")</f>
        <v>61872000000</v>
      </c>
      <c r="L276" s="4" t="str">
        <f>HYPERLINK("http://141.218.60.56/~jnz1568/getInfo.php?workbook=10_02.xlsx&amp;sheet=A0&amp;row=276&amp;col=12&amp;number=&amp;sourceID=47","")</f>
        <v/>
      </c>
    </row>
    <row r="277" spans="1:12">
      <c r="A277" s="3">
        <v>10</v>
      </c>
      <c r="B277" s="3">
        <v>2</v>
      </c>
      <c r="C277" s="3">
        <v>26</v>
      </c>
      <c r="D277" s="3">
        <v>15</v>
      </c>
      <c r="E277" s="3">
        <f>((1/(INDEX(E0!J$4:J$52,C277,1)-INDEX(E0!J$4:J$52,D277,1))))*100000000</f>
        <v>0</v>
      </c>
      <c r="F277" s="4" t="str">
        <f>HYPERLINK("http://141.218.60.56/~jnz1568/getInfo.php?workbook=10_02.xlsx&amp;sheet=A0&amp;row=277&amp;col=6&amp;number=&amp;sourceID=27","")</f>
        <v/>
      </c>
      <c r="G277" s="4" t="str">
        <f>HYPERLINK("http://141.218.60.56/~jnz1568/getInfo.php?workbook=10_02.xlsx&amp;sheet=A0&amp;row=277&amp;col=7&amp;number=5931000000&amp;sourceID=32","5931000000")</f>
        <v>5931000000</v>
      </c>
      <c r="H277" s="4" t="str">
        <f>HYPERLINK("http://141.218.60.56/~jnz1568/getInfo.php?workbook=10_02.xlsx&amp;sheet=A0&amp;row=277&amp;col=8&amp;number=&amp;sourceID=32","")</f>
        <v/>
      </c>
      <c r="I277" s="4" t="str">
        <f>HYPERLINK("http://141.218.60.56/~jnz1568/getInfo.php?workbook=10_02.xlsx&amp;sheet=A0&amp;row=277&amp;col=9&amp;number=&amp;sourceID=32","")</f>
        <v/>
      </c>
      <c r="J277" s="4" t="str">
        <f>HYPERLINK("http://141.218.60.56/~jnz1568/getInfo.php?workbook=10_02.xlsx&amp;sheet=A0&amp;row=277&amp;col=10&amp;number=0.01712&amp;sourceID=32","0.01712")</f>
        <v>0.01712</v>
      </c>
      <c r="K277" s="4" t="str">
        <f>HYPERLINK("http://141.218.60.56/~jnz1568/getInfo.php?workbook=10_02.xlsx&amp;sheet=A0&amp;row=277&amp;col=11&amp;number=6071500000&amp;sourceID=46","6071500000")</f>
        <v>6071500000</v>
      </c>
      <c r="L277" s="4" t="str">
        <f>HYPERLINK("http://141.218.60.56/~jnz1568/getInfo.php?workbook=10_02.xlsx&amp;sheet=A0&amp;row=277&amp;col=12&amp;number=&amp;sourceID=47","")</f>
        <v/>
      </c>
    </row>
    <row r="278" spans="1:12">
      <c r="A278" s="3">
        <v>10</v>
      </c>
      <c r="B278" s="3">
        <v>2</v>
      </c>
      <c r="C278" s="3">
        <v>26</v>
      </c>
      <c r="D278" s="3">
        <v>16</v>
      </c>
      <c r="E278" s="3">
        <f>((1/(INDEX(E0!J$4:J$52,C278,1)-INDEX(E0!J$4:J$52,D278,1))))*100000000</f>
        <v>0</v>
      </c>
      <c r="F278" s="4" t="str">
        <f>HYPERLINK("http://141.218.60.56/~jnz1568/getInfo.php?workbook=10_02.xlsx&amp;sheet=A0&amp;row=278&amp;col=6&amp;number=&amp;sourceID=27","")</f>
        <v/>
      </c>
      <c r="G278" s="4" t="str">
        <f>HYPERLINK("http://141.218.60.56/~jnz1568/getInfo.php?workbook=10_02.xlsx&amp;sheet=A0&amp;row=278&amp;col=7&amp;number=20640000000&amp;sourceID=32","20640000000")</f>
        <v>20640000000</v>
      </c>
      <c r="H278" s="4" t="str">
        <f>HYPERLINK("http://141.218.60.56/~jnz1568/getInfo.php?workbook=10_02.xlsx&amp;sheet=A0&amp;row=278&amp;col=8&amp;number=&amp;sourceID=32","")</f>
        <v/>
      </c>
      <c r="I278" s="4" t="str">
        <f>HYPERLINK("http://141.218.60.56/~jnz1568/getInfo.php?workbook=10_02.xlsx&amp;sheet=A0&amp;row=278&amp;col=9&amp;number=&amp;sourceID=32","")</f>
        <v/>
      </c>
      <c r="J278" s="4" t="str">
        <f>HYPERLINK("http://141.218.60.56/~jnz1568/getInfo.php?workbook=10_02.xlsx&amp;sheet=A0&amp;row=278&amp;col=10&amp;number=6.11&amp;sourceID=32","6.11")</f>
        <v>6.11</v>
      </c>
      <c r="K278" s="4" t="str">
        <f>HYPERLINK("http://141.218.60.56/~jnz1568/getInfo.php?workbook=10_02.xlsx&amp;sheet=A0&amp;row=278&amp;col=11&amp;number=22657000000&amp;sourceID=46","22657000000")</f>
        <v>22657000000</v>
      </c>
      <c r="L278" s="4" t="str">
        <f>HYPERLINK("http://141.218.60.56/~jnz1568/getInfo.php?workbook=10_02.xlsx&amp;sheet=A0&amp;row=278&amp;col=12&amp;number=&amp;sourceID=47","")</f>
        <v/>
      </c>
    </row>
    <row r="279" spans="1:12">
      <c r="A279" s="3">
        <v>10</v>
      </c>
      <c r="B279" s="3">
        <v>2</v>
      </c>
      <c r="C279" s="3">
        <v>26</v>
      </c>
      <c r="D279" s="3">
        <v>17</v>
      </c>
      <c r="E279" s="3">
        <f>((1/(INDEX(E0!J$4:J$52,C279,1)-INDEX(E0!J$4:J$52,D279,1))))*100000000</f>
        <v>0</v>
      </c>
      <c r="F279" s="4" t="str">
        <f>HYPERLINK("http://141.218.60.56/~jnz1568/getInfo.php?workbook=10_02.xlsx&amp;sheet=A0&amp;row=279&amp;col=6&amp;number=&amp;sourceID=27","")</f>
        <v/>
      </c>
      <c r="G279" s="4" t="str">
        <f>HYPERLINK("http://141.218.60.56/~jnz1568/getInfo.php?workbook=10_02.xlsx&amp;sheet=A0&amp;row=279&amp;col=7&amp;number=&amp;sourceID=32","")</f>
        <v/>
      </c>
      <c r="H279" s="4" t="str">
        <f>HYPERLINK("http://141.218.60.56/~jnz1568/getInfo.php?workbook=10_02.xlsx&amp;sheet=A0&amp;row=279&amp;col=8&amp;number=1169000&amp;sourceID=32","1169000")</f>
        <v>1169000</v>
      </c>
      <c r="I279" s="4" t="str">
        <f>HYPERLINK("http://141.218.60.56/~jnz1568/getInfo.php?workbook=10_02.xlsx&amp;sheet=A0&amp;row=279&amp;col=9&amp;number=&amp;sourceID=32","")</f>
        <v/>
      </c>
      <c r="J279" s="4" t="str">
        <f>HYPERLINK("http://141.218.60.56/~jnz1568/getInfo.php?workbook=10_02.xlsx&amp;sheet=A0&amp;row=279&amp;col=10&amp;number=&amp;sourceID=32","")</f>
        <v/>
      </c>
      <c r="K279" s="4" t="str">
        <f>HYPERLINK("http://141.218.60.56/~jnz1568/getInfo.php?workbook=10_02.xlsx&amp;sheet=A0&amp;row=279&amp;col=11&amp;number=1129600&amp;sourceID=46","1129600")</f>
        <v>1129600</v>
      </c>
      <c r="L279" s="4" t="str">
        <f>HYPERLINK("http://141.218.60.56/~jnz1568/getInfo.php?workbook=10_02.xlsx&amp;sheet=A0&amp;row=279&amp;col=12&amp;number=&amp;sourceID=47","")</f>
        <v/>
      </c>
    </row>
    <row r="280" spans="1:12">
      <c r="A280" s="3">
        <v>10</v>
      </c>
      <c r="B280" s="3">
        <v>2</v>
      </c>
      <c r="C280" s="3">
        <v>26</v>
      </c>
      <c r="D280" s="3">
        <v>18</v>
      </c>
      <c r="E280" s="3">
        <f>((1/(INDEX(E0!J$4:J$52,C280,1)-INDEX(E0!J$4:J$52,D280,1))))*100000000</f>
        <v>0</v>
      </c>
      <c r="F280" s="4" t="str">
        <f>HYPERLINK("http://141.218.60.56/~jnz1568/getInfo.php?workbook=10_02.xlsx&amp;sheet=A0&amp;row=280&amp;col=6&amp;number=&amp;sourceID=27","")</f>
        <v/>
      </c>
      <c r="G280" s="4" t="str">
        <f>HYPERLINK("http://141.218.60.56/~jnz1568/getInfo.php?workbook=10_02.xlsx&amp;sheet=A0&amp;row=280&amp;col=7&amp;number=&amp;sourceID=32","")</f>
        <v/>
      </c>
      <c r="H280" s="4" t="str">
        <f>HYPERLINK("http://141.218.60.56/~jnz1568/getInfo.php?workbook=10_02.xlsx&amp;sheet=A0&amp;row=280&amp;col=8&amp;number=&amp;sourceID=32","")</f>
        <v/>
      </c>
      <c r="I280" s="4" t="str">
        <f>HYPERLINK("http://141.218.60.56/~jnz1568/getInfo.php?workbook=10_02.xlsx&amp;sheet=A0&amp;row=280&amp;col=9&amp;number=&amp;sourceID=32","")</f>
        <v/>
      </c>
      <c r="J280" s="4" t="str">
        <f>HYPERLINK("http://141.218.60.56/~jnz1568/getInfo.php?workbook=10_02.xlsx&amp;sheet=A0&amp;row=280&amp;col=10&amp;number=2.5e-14&amp;sourceID=32","2.5e-14")</f>
        <v>2.5e-14</v>
      </c>
      <c r="K280" s="4" t="str">
        <f>HYPERLINK("http://141.218.60.56/~jnz1568/getInfo.php?workbook=10_02.xlsx&amp;sheet=A0&amp;row=280&amp;col=11&amp;number=&amp;sourceID=46","")</f>
        <v/>
      </c>
      <c r="L280" s="4" t="str">
        <f>HYPERLINK("http://141.218.60.56/~jnz1568/getInfo.php?workbook=10_02.xlsx&amp;sheet=A0&amp;row=280&amp;col=12&amp;number=&amp;sourceID=47","")</f>
        <v/>
      </c>
    </row>
    <row r="281" spans="1:12">
      <c r="A281" s="3">
        <v>10</v>
      </c>
      <c r="B281" s="3">
        <v>2</v>
      </c>
      <c r="C281" s="3">
        <v>26</v>
      </c>
      <c r="D281" s="3">
        <v>20</v>
      </c>
      <c r="E281" s="3">
        <f>((1/(INDEX(E0!J$4:J$52,C281,1)-INDEX(E0!J$4:J$52,D281,1))))*100000000</f>
        <v>0</v>
      </c>
      <c r="F281" s="4" t="str">
        <f>HYPERLINK("http://141.218.60.56/~jnz1568/getInfo.php?workbook=10_02.xlsx&amp;sheet=A0&amp;row=281&amp;col=6&amp;number=&amp;sourceID=27","")</f>
        <v/>
      </c>
      <c r="G281" s="4" t="str">
        <f>HYPERLINK("http://141.218.60.56/~jnz1568/getInfo.php?workbook=10_02.xlsx&amp;sheet=A0&amp;row=281&amp;col=7&amp;number=&amp;sourceID=32","")</f>
        <v/>
      </c>
      <c r="H281" s="4" t="str">
        <f>HYPERLINK("http://141.218.60.56/~jnz1568/getInfo.php?workbook=10_02.xlsx&amp;sheet=A0&amp;row=281&amp;col=8&amp;number=0.001011&amp;sourceID=32","0.001011")</f>
        <v>0.001011</v>
      </c>
      <c r="I281" s="4" t="str">
        <f>HYPERLINK("http://141.218.60.56/~jnz1568/getInfo.php?workbook=10_02.xlsx&amp;sheet=A0&amp;row=281&amp;col=9&amp;number=&amp;sourceID=32","")</f>
        <v/>
      </c>
      <c r="J281" s="4" t="str">
        <f>HYPERLINK("http://141.218.60.56/~jnz1568/getInfo.php?workbook=10_02.xlsx&amp;sheet=A0&amp;row=281&amp;col=10&amp;number=&amp;sourceID=32","")</f>
        <v/>
      </c>
      <c r="K281" s="4" t="str">
        <f>HYPERLINK("http://141.218.60.56/~jnz1568/getInfo.php?workbook=10_02.xlsx&amp;sheet=A0&amp;row=281&amp;col=11&amp;number=&amp;sourceID=46","")</f>
        <v/>
      </c>
      <c r="L281" s="4" t="str">
        <f>HYPERLINK("http://141.218.60.56/~jnz1568/getInfo.php?workbook=10_02.xlsx&amp;sheet=A0&amp;row=281&amp;col=12&amp;number=&amp;sourceID=47","")</f>
        <v/>
      </c>
    </row>
    <row r="282" spans="1:12">
      <c r="A282" s="3">
        <v>10</v>
      </c>
      <c r="B282" s="3">
        <v>2</v>
      </c>
      <c r="C282" s="3">
        <v>26</v>
      </c>
      <c r="D282" s="3">
        <v>22</v>
      </c>
      <c r="E282" s="3">
        <f>((1/(INDEX(E0!J$4:J$52,C282,1)-INDEX(E0!J$4:J$52,D282,1))))*100000000</f>
        <v>0</v>
      </c>
      <c r="F282" s="4" t="str">
        <f>HYPERLINK("http://141.218.60.56/~jnz1568/getInfo.php?workbook=10_02.xlsx&amp;sheet=A0&amp;row=282&amp;col=6&amp;number=&amp;sourceID=27","")</f>
        <v/>
      </c>
      <c r="G282" s="4" t="str">
        <f>HYPERLINK("http://141.218.60.56/~jnz1568/getInfo.php?workbook=10_02.xlsx&amp;sheet=A0&amp;row=282&amp;col=7&amp;number=&amp;sourceID=32","")</f>
        <v/>
      </c>
      <c r="H282" s="4" t="str">
        <f>HYPERLINK("http://141.218.60.56/~jnz1568/getInfo.php?workbook=10_02.xlsx&amp;sheet=A0&amp;row=282&amp;col=8&amp;number=0.0003975&amp;sourceID=32","0.0003975")</f>
        <v>0.0003975</v>
      </c>
      <c r="I282" s="4" t="str">
        <f>HYPERLINK("http://141.218.60.56/~jnz1568/getInfo.php?workbook=10_02.xlsx&amp;sheet=A0&amp;row=282&amp;col=9&amp;number=9.397e-09&amp;sourceID=32","9.397e-09")</f>
        <v>9.397e-09</v>
      </c>
      <c r="J282" s="4" t="str">
        <f>HYPERLINK("http://141.218.60.56/~jnz1568/getInfo.php?workbook=10_02.xlsx&amp;sheet=A0&amp;row=282&amp;col=10&amp;number=&amp;sourceID=32","")</f>
        <v/>
      </c>
      <c r="K282" s="4" t="str">
        <f>HYPERLINK("http://141.218.60.56/~jnz1568/getInfo.php?workbook=10_02.xlsx&amp;sheet=A0&amp;row=282&amp;col=11&amp;number=&amp;sourceID=46","")</f>
        <v/>
      </c>
      <c r="L282" s="4" t="str">
        <f>HYPERLINK("http://141.218.60.56/~jnz1568/getInfo.php?workbook=10_02.xlsx&amp;sheet=A0&amp;row=282&amp;col=12&amp;number=&amp;sourceID=47","")</f>
        <v/>
      </c>
    </row>
    <row r="283" spans="1:12">
      <c r="A283" s="3">
        <v>10</v>
      </c>
      <c r="B283" s="3">
        <v>2</v>
      </c>
      <c r="C283" s="3">
        <v>26</v>
      </c>
      <c r="D283" s="3">
        <v>23</v>
      </c>
      <c r="E283" s="3"/>
      <c r="F283" s="4" t="str">
        <f>HYPERLINK("http://141.218.60.56/~jnz1568/getInfo.php?workbook=10_02.xlsx&amp;sheet=A0&amp;row=283&amp;col=6&amp;number=&amp;sourceID=27","")</f>
        <v/>
      </c>
      <c r="G283" s="4" t="str">
        <f>HYPERLINK("http://141.218.60.56/~jnz1568/getInfo.php?workbook=10_02.xlsx&amp;sheet=A0&amp;row=283&amp;col=7&amp;number=&amp;sourceID=32","")</f>
        <v/>
      </c>
      <c r="H283" s="4" t="str">
        <f>HYPERLINK("http://141.218.60.56/~jnz1568/getInfo.php?workbook=10_02.xlsx&amp;sheet=A0&amp;row=283&amp;col=8&amp;number=&amp;sourceID=32","")</f>
        <v/>
      </c>
      <c r="I283" s="4" t="str">
        <f>HYPERLINK("http://141.218.60.56/~jnz1568/getInfo.php?workbook=10_02.xlsx&amp;sheet=A0&amp;row=283&amp;col=9&amp;number=&amp;sourceID=32","")</f>
        <v/>
      </c>
      <c r="J283" s="4" t="str">
        <f>HYPERLINK("http://141.218.60.56/~jnz1568/getInfo.php?workbook=10_02.xlsx&amp;sheet=A0&amp;row=283&amp;col=10&amp;number=4e-15&amp;sourceID=32","4e-15")</f>
        <v>4e-15</v>
      </c>
      <c r="K283" s="4" t="str">
        <f>HYPERLINK("http://141.218.60.56/~jnz1568/getInfo.php?workbook=10_02.xlsx&amp;sheet=A0&amp;row=283&amp;col=11&amp;number=&amp;sourceID=46","")</f>
        <v/>
      </c>
      <c r="L283" s="4" t="str">
        <f>HYPERLINK("http://141.218.60.56/~jnz1568/getInfo.php?workbook=10_02.xlsx&amp;sheet=A0&amp;row=283&amp;col=12&amp;number=&amp;sourceID=47","")</f>
        <v/>
      </c>
    </row>
    <row r="284" spans="1:12">
      <c r="A284" s="3">
        <v>10</v>
      </c>
      <c r="B284" s="3">
        <v>2</v>
      </c>
      <c r="C284" s="3">
        <v>26</v>
      </c>
      <c r="D284" s="3">
        <v>24</v>
      </c>
      <c r="E284" s="3"/>
      <c r="F284" s="4" t="str">
        <f>HYPERLINK("http://141.218.60.56/~jnz1568/getInfo.php?workbook=10_02.xlsx&amp;sheet=A0&amp;row=284&amp;col=6&amp;number=&amp;sourceID=27","")</f>
        <v/>
      </c>
      <c r="G284" s="4" t="str">
        <f>HYPERLINK("http://141.218.60.56/~jnz1568/getInfo.php?workbook=10_02.xlsx&amp;sheet=A0&amp;row=284&amp;col=7&amp;number=69.72&amp;sourceID=32","69.72")</f>
        <v>69.72</v>
      </c>
      <c r="H284" s="4" t="str">
        <f>HYPERLINK("http://141.218.60.56/~jnz1568/getInfo.php?workbook=10_02.xlsx&amp;sheet=A0&amp;row=284&amp;col=8&amp;number=&amp;sourceID=32","")</f>
        <v/>
      </c>
      <c r="I284" s="4" t="str">
        <f>HYPERLINK("http://141.218.60.56/~jnz1568/getInfo.php?workbook=10_02.xlsx&amp;sheet=A0&amp;row=284&amp;col=9&amp;number=&amp;sourceID=32","")</f>
        <v/>
      </c>
      <c r="J284" s="4" t="str">
        <f>HYPERLINK("http://141.218.60.56/~jnz1568/getInfo.php?workbook=10_02.xlsx&amp;sheet=A0&amp;row=284&amp;col=10&amp;number=2e-14&amp;sourceID=32","2e-14")</f>
        <v>2e-14</v>
      </c>
      <c r="K284" s="4" t="str">
        <f>HYPERLINK("http://141.218.60.56/~jnz1568/getInfo.php?workbook=10_02.xlsx&amp;sheet=A0&amp;row=284&amp;col=11&amp;number=73.428&amp;sourceID=46","73.428")</f>
        <v>73.428</v>
      </c>
      <c r="L284" s="4" t="str">
        <f>HYPERLINK("http://141.218.60.56/~jnz1568/getInfo.php?workbook=10_02.xlsx&amp;sheet=A0&amp;row=284&amp;col=12&amp;number=&amp;sourceID=47","")</f>
        <v/>
      </c>
    </row>
    <row r="285" spans="1:12">
      <c r="A285" s="3">
        <v>10</v>
      </c>
      <c r="B285" s="3">
        <v>2</v>
      </c>
      <c r="C285" s="3">
        <v>26</v>
      </c>
      <c r="D285" s="3">
        <v>25</v>
      </c>
      <c r="E285" s="3"/>
      <c r="F285" s="4" t="str">
        <f>HYPERLINK("http://141.218.60.56/~jnz1568/getInfo.php?workbook=10_02.xlsx&amp;sheet=A0&amp;row=285&amp;col=6&amp;number=&amp;sourceID=27","")</f>
        <v/>
      </c>
      <c r="G285" s="4" t="str">
        <f>HYPERLINK("http://141.218.60.56/~jnz1568/getInfo.php?workbook=10_02.xlsx&amp;sheet=A0&amp;row=285&amp;col=7&amp;number=3.67&amp;sourceID=32","3.67")</f>
        <v>3.67</v>
      </c>
      <c r="H285" s="4" t="str">
        <f>HYPERLINK("http://141.218.60.56/~jnz1568/getInfo.php?workbook=10_02.xlsx&amp;sheet=A0&amp;row=285&amp;col=8&amp;number=&amp;sourceID=32","")</f>
        <v/>
      </c>
      <c r="I285" s="4" t="str">
        <f>HYPERLINK("http://141.218.60.56/~jnz1568/getInfo.php?workbook=10_02.xlsx&amp;sheet=A0&amp;row=285&amp;col=9&amp;number=&amp;sourceID=32","")</f>
        <v/>
      </c>
      <c r="J285" s="4" t="str">
        <f>HYPERLINK("http://141.218.60.56/~jnz1568/getInfo.php?workbook=10_02.xlsx&amp;sheet=A0&amp;row=285&amp;col=10&amp;number=0&amp;sourceID=32","0")</f>
        <v>0</v>
      </c>
      <c r="K285" s="4" t="str">
        <f>HYPERLINK("http://141.218.60.56/~jnz1568/getInfo.php?workbook=10_02.xlsx&amp;sheet=A0&amp;row=285&amp;col=11&amp;number=4.2318&amp;sourceID=46","4.2318")</f>
        <v>4.2318</v>
      </c>
      <c r="L285" s="4" t="str">
        <f>HYPERLINK("http://141.218.60.56/~jnz1568/getInfo.php?workbook=10_02.xlsx&amp;sheet=A0&amp;row=285&amp;col=12&amp;number=&amp;sourceID=47","")</f>
        <v/>
      </c>
    </row>
    <row r="286" spans="1:12">
      <c r="A286" s="3">
        <v>10</v>
      </c>
      <c r="B286" s="3">
        <v>2</v>
      </c>
      <c r="C286" s="3">
        <v>27</v>
      </c>
      <c r="D286" s="3">
        <v>1</v>
      </c>
      <c r="E286" s="3">
        <f>((1/(INDEX(E0!J$4:J$52,C286,1)-INDEX(E0!J$4:J$52,D286,1))))*100000000</f>
        <v>0</v>
      </c>
      <c r="F286" s="4" t="str">
        <f>HYPERLINK("http://141.218.60.56/~jnz1568/getInfo.php?workbook=10_02.xlsx&amp;sheet=A0&amp;row=286&amp;col=6&amp;number=&amp;sourceID=27","")</f>
        <v/>
      </c>
      <c r="G286" s="4" t="str">
        <f>HYPERLINK("http://141.218.60.56/~jnz1568/getInfo.php?workbook=10_02.xlsx&amp;sheet=A0&amp;row=286&amp;col=7&amp;number=&amp;sourceID=32","")</f>
        <v/>
      </c>
      <c r="H286" s="4" t="str">
        <f>HYPERLINK("http://141.218.60.56/~jnz1568/getInfo.php?workbook=10_02.xlsx&amp;sheet=A0&amp;row=286&amp;col=8&amp;number=&amp;sourceID=32","")</f>
        <v/>
      </c>
      <c r="I286" s="4" t="str">
        <f>HYPERLINK("http://141.218.60.56/~jnz1568/getInfo.php?workbook=10_02.xlsx&amp;sheet=A0&amp;row=286&amp;col=9&amp;number=&amp;sourceID=32","")</f>
        <v/>
      </c>
      <c r="J286" s="4" t="str">
        <f>HYPERLINK("http://141.218.60.56/~jnz1568/getInfo.php?workbook=10_02.xlsx&amp;sheet=A0&amp;row=286&amp;col=10&amp;number=0.003008&amp;sourceID=32","0.003008")</f>
        <v>0.003008</v>
      </c>
      <c r="K286" s="4" t="str">
        <f>HYPERLINK("http://141.218.60.56/~jnz1568/getInfo.php?workbook=10_02.xlsx&amp;sheet=A0&amp;row=286&amp;col=11&amp;number=&amp;sourceID=46","")</f>
        <v/>
      </c>
      <c r="L286" s="4" t="str">
        <f>HYPERLINK("http://141.218.60.56/~jnz1568/getInfo.php?workbook=10_02.xlsx&amp;sheet=A0&amp;row=286&amp;col=12&amp;number=&amp;sourceID=47","")</f>
        <v/>
      </c>
    </row>
    <row r="287" spans="1:12">
      <c r="A287" s="3">
        <v>10</v>
      </c>
      <c r="B287" s="3">
        <v>2</v>
      </c>
      <c r="C287" s="3">
        <v>27</v>
      </c>
      <c r="D287" s="3">
        <v>2</v>
      </c>
      <c r="E287" s="3">
        <f>((1/(INDEX(E0!J$4:J$52,C287,1)-INDEX(E0!J$4:J$52,D287,1))))*100000000</f>
        <v>0</v>
      </c>
      <c r="F287" s="4" t="str">
        <f>HYPERLINK("http://141.218.60.56/~jnz1568/getInfo.php?workbook=10_02.xlsx&amp;sheet=A0&amp;row=287&amp;col=6&amp;number=&amp;sourceID=27","")</f>
        <v/>
      </c>
      <c r="G287" s="4" t="str">
        <f>HYPERLINK("http://141.218.60.56/~jnz1568/getInfo.php?workbook=10_02.xlsx&amp;sheet=A0&amp;row=287&amp;col=7&amp;number=15.17&amp;sourceID=32","15.17")</f>
        <v>15.17</v>
      </c>
      <c r="H287" s="4" t="str">
        <f>HYPERLINK("http://141.218.60.56/~jnz1568/getInfo.php?workbook=10_02.xlsx&amp;sheet=A0&amp;row=287&amp;col=8&amp;number=&amp;sourceID=32","")</f>
        <v/>
      </c>
      <c r="I287" s="4" t="str">
        <f>HYPERLINK("http://141.218.60.56/~jnz1568/getInfo.php?workbook=10_02.xlsx&amp;sheet=A0&amp;row=287&amp;col=9&amp;number=&amp;sourceID=32","")</f>
        <v/>
      </c>
      <c r="J287" s="4" t="str">
        <f>HYPERLINK("http://141.218.60.56/~jnz1568/getInfo.php?workbook=10_02.xlsx&amp;sheet=A0&amp;row=287&amp;col=10&amp;number=2.875e-05&amp;sourceID=32","2.875e-05")</f>
        <v>2.875e-05</v>
      </c>
      <c r="K287" s="4" t="str">
        <f>HYPERLINK("http://141.218.60.56/~jnz1568/getInfo.php?workbook=10_02.xlsx&amp;sheet=A0&amp;row=287&amp;col=11&amp;number=6111.9&amp;sourceID=46","6111.9")</f>
        <v>6111.9</v>
      </c>
      <c r="L287" s="4" t="str">
        <f>HYPERLINK("http://141.218.60.56/~jnz1568/getInfo.php?workbook=10_02.xlsx&amp;sheet=A0&amp;row=287&amp;col=12&amp;number=&amp;sourceID=47","")</f>
        <v/>
      </c>
    </row>
    <row r="288" spans="1:12">
      <c r="A288" s="3">
        <v>10</v>
      </c>
      <c r="B288" s="3">
        <v>2</v>
      </c>
      <c r="C288" s="3">
        <v>27</v>
      </c>
      <c r="D288" s="3">
        <v>3</v>
      </c>
      <c r="E288" s="3">
        <f>((1/(INDEX(E0!J$4:J$52,C288,1)-INDEX(E0!J$4:J$52,D288,1))))*100000000</f>
        <v>0</v>
      </c>
      <c r="F288" s="4" t="str">
        <f>HYPERLINK("http://141.218.60.56/~jnz1568/getInfo.php?workbook=10_02.xlsx&amp;sheet=A0&amp;row=288&amp;col=6&amp;number=&amp;sourceID=27","")</f>
        <v/>
      </c>
      <c r="G288" s="4" t="str">
        <f>HYPERLINK("http://141.218.60.56/~jnz1568/getInfo.php?workbook=10_02.xlsx&amp;sheet=A0&amp;row=288&amp;col=7&amp;number=&amp;sourceID=32","")</f>
        <v/>
      </c>
      <c r="H288" s="4" t="str">
        <f>HYPERLINK("http://141.218.60.56/~jnz1568/getInfo.php?workbook=10_02.xlsx&amp;sheet=A0&amp;row=288&amp;col=8&amp;number=15370000&amp;sourceID=32","15370000")</f>
        <v>15370000</v>
      </c>
      <c r="I288" s="4" t="str">
        <f>HYPERLINK("http://141.218.60.56/~jnz1568/getInfo.php?workbook=10_02.xlsx&amp;sheet=A0&amp;row=288&amp;col=9&amp;number=&amp;sourceID=32","")</f>
        <v/>
      </c>
      <c r="J288" s="4" t="str">
        <f>HYPERLINK("http://141.218.60.56/~jnz1568/getInfo.php?workbook=10_02.xlsx&amp;sheet=A0&amp;row=288&amp;col=10&amp;number=&amp;sourceID=32","")</f>
        <v/>
      </c>
      <c r="K288" s="4" t="str">
        <f>HYPERLINK("http://141.218.60.56/~jnz1568/getInfo.php?workbook=10_02.xlsx&amp;sheet=A0&amp;row=288&amp;col=11&amp;number=15400000&amp;sourceID=46","15400000")</f>
        <v>15400000</v>
      </c>
      <c r="L288" s="4" t="str">
        <f>HYPERLINK("http://141.218.60.56/~jnz1568/getInfo.php?workbook=10_02.xlsx&amp;sheet=A0&amp;row=288&amp;col=12&amp;number=&amp;sourceID=47","")</f>
        <v/>
      </c>
    </row>
    <row r="289" spans="1:12">
      <c r="A289" s="3">
        <v>10</v>
      </c>
      <c r="B289" s="3">
        <v>2</v>
      </c>
      <c r="C289" s="3">
        <v>27</v>
      </c>
      <c r="D289" s="3">
        <v>4</v>
      </c>
      <c r="E289" s="3">
        <f>((1/(INDEX(E0!J$4:J$52,C289,1)-INDEX(E0!J$4:J$52,D289,1))))*100000000</f>
        <v>0</v>
      </c>
      <c r="F289" s="4" t="str">
        <f>HYPERLINK("http://141.218.60.56/~jnz1568/getInfo.php?workbook=10_02.xlsx&amp;sheet=A0&amp;row=289&amp;col=6&amp;number=&amp;sourceID=27","")</f>
        <v/>
      </c>
      <c r="G289" s="4" t="str">
        <f>HYPERLINK("http://141.218.60.56/~jnz1568/getInfo.php?workbook=10_02.xlsx&amp;sheet=A0&amp;row=289&amp;col=7&amp;number=&amp;sourceID=32","")</f>
        <v/>
      </c>
      <c r="H289" s="4" t="str">
        <f>HYPERLINK("http://141.218.60.56/~jnz1568/getInfo.php?workbook=10_02.xlsx&amp;sheet=A0&amp;row=289&amp;col=8&amp;number=15360000&amp;sourceID=32","15360000")</f>
        <v>15360000</v>
      </c>
      <c r="I289" s="4" t="str">
        <f>HYPERLINK("http://141.218.60.56/~jnz1568/getInfo.php?workbook=10_02.xlsx&amp;sheet=A0&amp;row=289&amp;col=9&amp;number=0.06709&amp;sourceID=32","0.06709")</f>
        <v>0.06709</v>
      </c>
      <c r="J289" s="4" t="str">
        <f>HYPERLINK("http://141.218.60.56/~jnz1568/getInfo.php?workbook=10_02.xlsx&amp;sheet=A0&amp;row=289&amp;col=10&amp;number=&amp;sourceID=32","")</f>
        <v/>
      </c>
      <c r="K289" s="4" t="str">
        <f>HYPERLINK("http://141.218.60.56/~jnz1568/getInfo.php?workbook=10_02.xlsx&amp;sheet=A0&amp;row=289&amp;col=11&amp;number=15404000&amp;sourceID=46","15404000")</f>
        <v>15404000</v>
      </c>
      <c r="L289" s="4" t="str">
        <f>HYPERLINK("http://141.218.60.56/~jnz1568/getInfo.php?workbook=10_02.xlsx&amp;sheet=A0&amp;row=289&amp;col=12&amp;number=&amp;sourceID=47","")</f>
        <v/>
      </c>
    </row>
    <row r="290" spans="1:12">
      <c r="A290" s="3">
        <v>10</v>
      </c>
      <c r="B290" s="3">
        <v>2</v>
      </c>
      <c r="C290" s="3">
        <v>27</v>
      </c>
      <c r="D290" s="3">
        <v>5</v>
      </c>
      <c r="E290" s="3">
        <f>((1/(INDEX(E0!J$4:J$52,C290,1)-INDEX(E0!J$4:J$52,D290,1))))*100000000</f>
        <v>0</v>
      </c>
      <c r="F290" s="4" t="str">
        <f>HYPERLINK("http://141.218.60.56/~jnz1568/getInfo.php?workbook=10_02.xlsx&amp;sheet=A0&amp;row=290&amp;col=6&amp;number=&amp;sourceID=27","")</f>
        <v/>
      </c>
      <c r="G290" s="4" t="str">
        <f>HYPERLINK("http://141.218.60.56/~jnz1568/getInfo.php?workbook=10_02.xlsx&amp;sheet=A0&amp;row=290&amp;col=7&amp;number=&amp;sourceID=32","")</f>
        <v/>
      </c>
      <c r="H290" s="4" t="str">
        <f>HYPERLINK("http://141.218.60.56/~jnz1568/getInfo.php?workbook=10_02.xlsx&amp;sheet=A0&amp;row=290&amp;col=8&amp;number=2195000&amp;sourceID=32","2195000")</f>
        <v>2195000</v>
      </c>
      <c r="I290" s="4" t="str">
        <f>HYPERLINK("http://141.218.60.56/~jnz1568/getInfo.php?workbook=10_02.xlsx&amp;sheet=A0&amp;row=290&amp;col=9&amp;number=0.04211&amp;sourceID=32","0.04211")</f>
        <v>0.04211</v>
      </c>
      <c r="J290" s="4" t="str">
        <f>HYPERLINK("http://141.218.60.56/~jnz1568/getInfo.php?workbook=10_02.xlsx&amp;sheet=A0&amp;row=290&amp;col=10&amp;number=&amp;sourceID=32","")</f>
        <v/>
      </c>
      <c r="K290" s="4" t="str">
        <f>HYPERLINK("http://141.218.60.56/~jnz1568/getInfo.php?workbook=10_02.xlsx&amp;sheet=A0&amp;row=290&amp;col=11&amp;number=2204200&amp;sourceID=46","2204200")</f>
        <v>2204200</v>
      </c>
      <c r="L290" s="4" t="str">
        <f>HYPERLINK("http://141.218.60.56/~jnz1568/getInfo.php?workbook=10_02.xlsx&amp;sheet=A0&amp;row=290&amp;col=12&amp;number=&amp;sourceID=47","")</f>
        <v/>
      </c>
    </row>
    <row r="291" spans="1:12">
      <c r="A291" s="3">
        <v>10</v>
      </c>
      <c r="B291" s="3">
        <v>2</v>
      </c>
      <c r="C291" s="3">
        <v>27</v>
      </c>
      <c r="D291" s="3">
        <v>6</v>
      </c>
      <c r="E291" s="3">
        <f>((1/(INDEX(E0!J$4:J$52,C291,1)-INDEX(E0!J$4:J$52,D291,1))))*100000000</f>
        <v>0</v>
      </c>
      <c r="F291" s="4" t="str">
        <f>HYPERLINK("http://141.218.60.56/~jnz1568/getInfo.php?workbook=10_02.xlsx&amp;sheet=A0&amp;row=291&amp;col=6&amp;number=&amp;sourceID=27","")</f>
        <v/>
      </c>
      <c r="G291" s="4" t="str">
        <f>HYPERLINK("http://141.218.60.56/~jnz1568/getInfo.php?workbook=10_02.xlsx&amp;sheet=A0&amp;row=291&amp;col=7&amp;number=&amp;sourceID=32","")</f>
        <v/>
      </c>
      <c r="H291" s="4" t="str">
        <f>HYPERLINK("http://141.218.60.56/~jnz1568/getInfo.php?workbook=10_02.xlsx&amp;sheet=A0&amp;row=291&amp;col=8&amp;number=&amp;sourceID=32","")</f>
        <v/>
      </c>
      <c r="I291" s="4" t="str">
        <f>HYPERLINK("http://141.218.60.56/~jnz1568/getInfo.php?workbook=10_02.xlsx&amp;sheet=A0&amp;row=291&amp;col=9&amp;number=&amp;sourceID=32","")</f>
        <v/>
      </c>
      <c r="J291" s="4" t="str">
        <f>HYPERLINK("http://141.218.60.56/~jnz1568/getInfo.php?workbook=10_02.xlsx&amp;sheet=A0&amp;row=291&amp;col=10&amp;number=5.461e-06&amp;sourceID=32","5.461e-06")</f>
        <v>5.461e-06</v>
      </c>
      <c r="K291" s="4" t="str">
        <f>HYPERLINK("http://141.218.60.56/~jnz1568/getInfo.php?workbook=10_02.xlsx&amp;sheet=A0&amp;row=291&amp;col=11&amp;number=&amp;sourceID=46","")</f>
        <v/>
      </c>
      <c r="L291" s="4" t="str">
        <f>HYPERLINK("http://141.218.60.56/~jnz1568/getInfo.php?workbook=10_02.xlsx&amp;sheet=A0&amp;row=291&amp;col=12&amp;number=&amp;sourceID=47","")</f>
        <v/>
      </c>
    </row>
    <row r="292" spans="1:12">
      <c r="A292" s="3">
        <v>10</v>
      </c>
      <c r="B292" s="3">
        <v>2</v>
      </c>
      <c r="C292" s="3">
        <v>27</v>
      </c>
      <c r="D292" s="3">
        <v>7</v>
      </c>
      <c r="E292" s="3">
        <f>((1/(INDEX(E0!J$4:J$52,C292,1)-INDEX(E0!J$4:J$52,D292,1))))*100000000</f>
        <v>0</v>
      </c>
      <c r="F292" s="4" t="str">
        <f>HYPERLINK("http://141.218.60.56/~jnz1568/getInfo.php?workbook=10_02.xlsx&amp;sheet=A0&amp;row=292&amp;col=6&amp;number=&amp;sourceID=27","")</f>
        <v/>
      </c>
      <c r="G292" s="4" t="str">
        <f>HYPERLINK("http://141.218.60.56/~jnz1568/getInfo.php?workbook=10_02.xlsx&amp;sheet=A0&amp;row=292&amp;col=7&amp;number=&amp;sourceID=32","")</f>
        <v/>
      </c>
      <c r="H292" s="4" t="str">
        <f>HYPERLINK("http://141.218.60.56/~jnz1568/getInfo.php?workbook=10_02.xlsx&amp;sheet=A0&amp;row=292&amp;col=8&amp;number=8684&amp;sourceID=32","8684")</f>
        <v>8684</v>
      </c>
      <c r="I292" s="4" t="str">
        <f>HYPERLINK("http://141.218.60.56/~jnz1568/getInfo.php?workbook=10_02.xlsx&amp;sheet=A0&amp;row=292&amp;col=9&amp;number=0.1219&amp;sourceID=32","0.1219")</f>
        <v>0.1219</v>
      </c>
      <c r="J292" s="4" t="str">
        <f>HYPERLINK("http://141.218.60.56/~jnz1568/getInfo.php?workbook=10_02.xlsx&amp;sheet=A0&amp;row=292&amp;col=10&amp;number=&amp;sourceID=32","")</f>
        <v/>
      </c>
      <c r="K292" s="4" t="str">
        <f>HYPERLINK("http://141.218.60.56/~jnz1568/getInfo.php?workbook=10_02.xlsx&amp;sheet=A0&amp;row=292&amp;col=11&amp;number=6674.2&amp;sourceID=46","6674.2")</f>
        <v>6674.2</v>
      </c>
      <c r="L292" s="4" t="str">
        <f>HYPERLINK("http://141.218.60.56/~jnz1568/getInfo.php?workbook=10_02.xlsx&amp;sheet=A0&amp;row=292&amp;col=12&amp;number=&amp;sourceID=47","")</f>
        <v/>
      </c>
    </row>
    <row r="293" spans="1:12">
      <c r="A293" s="3">
        <v>10</v>
      </c>
      <c r="B293" s="3">
        <v>2</v>
      </c>
      <c r="C293" s="3">
        <v>27</v>
      </c>
      <c r="D293" s="3">
        <v>8</v>
      </c>
      <c r="E293" s="3">
        <f>((1/(INDEX(E0!J$4:J$52,C293,1)-INDEX(E0!J$4:J$52,D293,1))))*100000000</f>
        <v>0</v>
      </c>
      <c r="F293" s="4" t="str">
        <f>HYPERLINK("http://141.218.60.56/~jnz1568/getInfo.php?workbook=10_02.xlsx&amp;sheet=A0&amp;row=293&amp;col=6&amp;number=&amp;sourceID=27","")</f>
        <v/>
      </c>
      <c r="G293" s="4" t="str">
        <f>HYPERLINK("http://141.218.60.56/~jnz1568/getInfo.php?workbook=10_02.xlsx&amp;sheet=A0&amp;row=293&amp;col=7&amp;number=3374&amp;sourceID=32","3374")</f>
        <v>3374</v>
      </c>
      <c r="H293" s="4" t="str">
        <f>HYPERLINK("http://141.218.60.56/~jnz1568/getInfo.php?workbook=10_02.xlsx&amp;sheet=A0&amp;row=293&amp;col=8&amp;number=&amp;sourceID=32","")</f>
        <v/>
      </c>
      <c r="I293" s="4" t="str">
        <f>HYPERLINK("http://141.218.60.56/~jnz1568/getInfo.php?workbook=10_02.xlsx&amp;sheet=A0&amp;row=293&amp;col=9&amp;number=&amp;sourceID=32","")</f>
        <v/>
      </c>
      <c r="J293" s="4" t="str">
        <f>HYPERLINK("http://141.218.60.56/~jnz1568/getInfo.php?workbook=10_02.xlsx&amp;sheet=A0&amp;row=293&amp;col=10&amp;number=2.042e-06&amp;sourceID=32","2.042e-06")</f>
        <v>2.042e-06</v>
      </c>
      <c r="K293" s="4" t="str">
        <f>HYPERLINK("http://141.218.60.56/~jnz1568/getInfo.php?workbook=10_02.xlsx&amp;sheet=A0&amp;row=293&amp;col=11&amp;number=3347.4&amp;sourceID=46","3347.4")</f>
        <v>3347.4</v>
      </c>
      <c r="L293" s="4" t="str">
        <f>HYPERLINK("http://141.218.60.56/~jnz1568/getInfo.php?workbook=10_02.xlsx&amp;sheet=A0&amp;row=293&amp;col=12&amp;number=&amp;sourceID=47","")</f>
        <v/>
      </c>
    </row>
    <row r="294" spans="1:12">
      <c r="A294" s="3">
        <v>10</v>
      </c>
      <c r="B294" s="3">
        <v>2</v>
      </c>
      <c r="C294" s="3">
        <v>27</v>
      </c>
      <c r="D294" s="3">
        <v>9</v>
      </c>
      <c r="E294" s="3">
        <f>((1/(INDEX(E0!J$4:J$52,C294,1)-INDEX(E0!J$4:J$52,D294,1))))*100000000</f>
        <v>0</v>
      </c>
      <c r="F294" s="4" t="str">
        <f>HYPERLINK("http://141.218.60.56/~jnz1568/getInfo.php?workbook=10_02.xlsx&amp;sheet=A0&amp;row=294&amp;col=6&amp;number=&amp;sourceID=27","")</f>
        <v/>
      </c>
      <c r="G294" s="4" t="str">
        <f>HYPERLINK("http://141.218.60.56/~jnz1568/getInfo.php?workbook=10_02.xlsx&amp;sheet=A0&amp;row=294&amp;col=7&amp;number=&amp;sourceID=32","")</f>
        <v/>
      </c>
      <c r="H294" s="4" t="str">
        <f>HYPERLINK("http://141.218.60.56/~jnz1568/getInfo.php?workbook=10_02.xlsx&amp;sheet=A0&amp;row=294&amp;col=8&amp;number=1579000&amp;sourceID=32","1579000")</f>
        <v>1579000</v>
      </c>
      <c r="I294" s="4" t="str">
        <f>HYPERLINK("http://141.218.60.56/~jnz1568/getInfo.php?workbook=10_02.xlsx&amp;sheet=A0&amp;row=294&amp;col=9&amp;number=&amp;sourceID=32","")</f>
        <v/>
      </c>
      <c r="J294" s="4" t="str">
        <f>HYPERLINK("http://141.218.60.56/~jnz1568/getInfo.php?workbook=10_02.xlsx&amp;sheet=A0&amp;row=294&amp;col=10&amp;number=&amp;sourceID=32","")</f>
        <v/>
      </c>
      <c r="K294" s="4" t="str">
        <f>HYPERLINK("http://141.218.60.56/~jnz1568/getInfo.php?workbook=10_02.xlsx&amp;sheet=A0&amp;row=294&amp;col=11&amp;number=1584800&amp;sourceID=46","1584800")</f>
        <v>1584800</v>
      </c>
      <c r="L294" s="4" t="str">
        <f>HYPERLINK("http://141.218.60.56/~jnz1568/getInfo.php?workbook=10_02.xlsx&amp;sheet=A0&amp;row=294&amp;col=12&amp;number=&amp;sourceID=47","")</f>
        <v/>
      </c>
    </row>
    <row r="295" spans="1:12">
      <c r="A295" s="3">
        <v>10</v>
      </c>
      <c r="B295" s="3">
        <v>2</v>
      </c>
      <c r="C295" s="3">
        <v>27</v>
      </c>
      <c r="D295" s="3">
        <v>10</v>
      </c>
      <c r="E295" s="3">
        <f>((1/(INDEX(E0!J$4:J$52,C295,1)-INDEX(E0!J$4:J$52,D295,1))))*100000000</f>
        <v>0</v>
      </c>
      <c r="F295" s="4" t="str">
        <f>HYPERLINK("http://141.218.60.56/~jnz1568/getInfo.php?workbook=10_02.xlsx&amp;sheet=A0&amp;row=295&amp;col=6&amp;number=&amp;sourceID=27","")</f>
        <v/>
      </c>
      <c r="G295" s="4" t="str">
        <f>HYPERLINK("http://141.218.60.56/~jnz1568/getInfo.php?workbook=10_02.xlsx&amp;sheet=A0&amp;row=295&amp;col=7&amp;number=&amp;sourceID=32","")</f>
        <v/>
      </c>
      <c r="H295" s="4" t="str">
        <f>HYPERLINK("http://141.218.60.56/~jnz1568/getInfo.php?workbook=10_02.xlsx&amp;sheet=A0&amp;row=295&amp;col=8&amp;number=1577000&amp;sourceID=32","1577000")</f>
        <v>1577000</v>
      </c>
      <c r="I295" s="4" t="str">
        <f>HYPERLINK("http://141.218.60.56/~jnz1568/getInfo.php?workbook=10_02.xlsx&amp;sheet=A0&amp;row=295&amp;col=9&amp;number=0.002595&amp;sourceID=32","0.002595")</f>
        <v>0.002595</v>
      </c>
      <c r="J295" s="4" t="str">
        <f>HYPERLINK("http://141.218.60.56/~jnz1568/getInfo.php?workbook=10_02.xlsx&amp;sheet=A0&amp;row=295&amp;col=10&amp;number=&amp;sourceID=32","")</f>
        <v/>
      </c>
      <c r="K295" s="4" t="str">
        <f>HYPERLINK("http://141.218.60.56/~jnz1568/getInfo.php?workbook=10_02.xlsx&amp;sheet=A0&amp;row=295&amp;col=11&amp;number=1582600&amp;sourceID=46","1582600")</f>
        <v>1582600</v>
      </c>
      <c r="L295" s="4" t="str">
        <f>HYPERLINK("http://141.218.60.56/~jnz1568/getInfo.php?workbook=10_02.xlsx&amp;sheet=A0&amp;row=295&amp;col=12&amp;number=&amp;sourceID=47","")</f>
        <v/>
      </c>
    </row>
    <row r="296" spans="1:12">
      <c r="A296" s="3">
        <v>10</v>
      </c>
      <c r="B296" s="3">
        <v>2</v>
      </c>
      <c r="C296" s="3">
        <v>27</v>
      </c>
      <c r="D296" s="3">
        <v>11</v>
      </c>
      <c r="E296" s="3">
        <f>((1/(INDEX(E0!J$4:J$52,C296,1)-INDEX(E0!J$4:J$52,D296,1))))*100000000</f>
        <v>0</v>
      </c>
      <c r="F296" s="4" t="str">
        <f>HYPERLINK("http://141.218.60.56/~jnz1568/getInfo.php?workbook=10_02.xlsx&amp;sheet=A0&amp;row=296&amp;col=6&amp;number=&amp;sourceID=27","")</f>
        <v/>
      </c>
      <c r="G296" s="4" t="str">
        <f>HYPERLINK("http://141.218.60.56/~jnz1568/getInfo.php?workbook=10_02.xlsx&amp;sheet=A0&amp;row=296&amp;col=7&amp;number=&amp;sourceID=32","")</f>
        <v/>
      </c>
      <c r="H296" s="4" t="str">
        <f>HYPERLINK("http://141.218.60.56/~jnz1568/getInfo.php?workbook=10_02.xlsx&amp;sheet=A0&amp;row=296&amp;col=8&amp;number=&amp;sourceID=32","")</f>
        <v/>
      </c>
      <c r="I296" s="4" t="str">
        <f>HYPERLINK("http://141.218.60.56/~jnz1568/getInfo.php?workbook=10_02.xlsx&amp;sheet=A0&amp;row=296&amp;col=9&amp;number=&amp;sourceID=32","")</f>
        <v/>
      </c>
      <c r="J296" s="4" t="str">
        <f>HYPERLINK("http://141.218.60.56/~jnz1568/getInfo.php?workbook=10_02.xlsx&amp;sheet=A0&amp;row=296&amp;col=10&amp;number=2.614e-07&amp;sourceID=32","2.614e-07")</f>
        <v>2.614e-07</v>
      </c>
      <c r="K296" s="4" t="str">
        <f>HYPERLINK("http://141.218.60.56/~jnz1568/getInfo.php?workbook=10_02.xlsx&amp;sheet=A0&amp;row=296&amp;col=11&amp;number=&amp;sourceID=46","")</f>
        <v/>
      </c>
      <c r="L296" s="4" t="str">
        <f>HYPERLINK("http://141.218.60.56/~jnz1568/getInfo.php?workbook=10_02.xlsx&amp;sheet=A0&amp;row=296&amp;col=12&amp;number=&amp;sourceID=47","")</f>
        <v/>
      </c>
    </row>
    <row r="297" spans="1:12">
      <c r="A297" s="3">
        <v>10</v>
      </c>
      <c r="B297" s="3">
        <v>2</v>
      </c>
      <c r="C297" s="3">
        <v>27</v>
      </c>
      <c r="D297" s="3">
        <v>12</v>
      </c>
      <c r="E297" s="3">
        <f>((1/(INDEX(E0!J$4:J$52,C297,1)-INDEX(E0!J$4:J$52,D297,1))))*100000000</f>
        <v>0</v>
      </c>
      <c r="F297" s="4" t="str">
        <f>HYPERLINK("http://141.218.60.56/~jnz1568/getInfo.php?workbook=10_02.xlsx&amp;sheet=A0&amp;row=297&amp;col=6&amp;number=&amp;sourceID=27","")</f>
        <v/>
      </c>
      <c r="G297" s="4" t="str">
        <f>HYPERLINK("http://141.218.60.56/~jnz1568/getInfo.php?workbook=10_02.xlsx&amp;sheet=A0&amp;row=297&amp;col=7&amp;number=&amp;sourceID=32","")</f>
        <v/>
      </c>
      <c r="H297" s="4" t="str">
        <f>HYPERLINK("http://141.218.60.56/~jnz1568/getInfo.php?workbook=10_02.xlsx&amp;sheet=A0&amp;row=297&amp;col=8&amp;number=224600&amp;sourceID=32","224600")</f>
        <v>224600</v>
      </c>
      <c r="I297" s="4" t="str">
        <f>HYPERLINK("http://141.218.60.56/~jnz1568/getInfo.php?workbook=10_02.xlsx&amp;sheet=A0&amp;row=297&amp;col=9&amp;number=0.001599&amp;sourceID=32","0.001599")</f>
        <v>0.001599</v>
      </c>
      <c r="J297" s="4" t="str">
        <f>HYPERLINK("http://141.218.60.56/~jnz1568/getInfo.php?workbook=10_02.xlsx&amp;sheet=A0&amp;row=297&amp;col=10&amp;number=&amp;sourceID=32","")</f>
        <v/>
      </c>
      <c r="K297" s="4" t="str">
        <f>HYPERLINK("http://141.218.60.56/~jnz1568/getInfo.php?workbook=10_02.xlsx&amp;sheet=A0&amp;row=297&amp;col=11&amp;number=225270&amp;sourceID=46","225270")</f>
        <v>225270</v>
      </c>
      <c r="L297" s="4" t="str">
        <f>HYPERLINK("http://141.218.60.56/~jnz1568/getInfo.php?workbook=10_02.xlsx&amp;sheet=A0&amp;row=297&amp;col=12&amp;number=&amp;sourceID=47","")</f>
        <v/>
      </c>
    </row>
    <row r="298" spans="1:12">
      <c r="A298" s="3">
        <v>10</v>
      </c>
      <c r="B298" s="3">
        <v>2</v>
      </c>
      <c r="C298" s="3">
        <v>27</v>
      </c>
      <c r="D298" s="3">
        <v>13</v>
      </c>
      <c r="E298" s="3">
        <f>((1/(INDEX(E0!J$4:J$52,C298,1)-INDEX(E0!J$4:J$52,D298,1))))*100000000</f>
        <v>0</v>
      </c>
      <c r="F298" s="4" t="str">
        <f>HYPERLINK("http://141.218.60.56/~jnz1568/getInfo.php?workbook=10_02.xlsx&amp;sheet=A0&amp;row=298&amp;col=6&amp;number=&amp;sourceID=27","")</f>
        <v/>
      </c>
      <c r="G298" s="4" t="str">
        <f>HYPERLINK("http://141.218.60.56/~jnz1568/getInfo.php?workbook=10_02.xlsx&amp;sheet=A0&amp;row=298&amp;col=7&amp;number=76130000000&amp;sourceID=32","76130000000")</f>
        <v>76130000000</v>
      </c>
      <c r="H298" s="4" t="str">
        <f>HYPERLINK("http://141.218.60.56/~jnz1568/getInfo.php?workbook=10_02.xlsx&amp;sheet=A0&amp;row=298&amp;col=8&amp;number=&amp;sourceID=32","")</f>
        <v/>
      </c>
      <c r="I298" s="4" t="str">
        <f>HYPERLINK("http://141.218.60.56/~jnz1568/getInfo.php?workbook=10_02.xlsx&amp;sheet=A0&amp;row=298&amp;col=9&amp;number=&amp;sourceID=32","")</f>
        <v/>
      </c>
      <c r="J298" s="4" t="str">
        <f>HYPERLINK("http://141.218.60.56/~jnz1568/getInfo.php?workbook=10_02.xlsx&amp;sheet=A0&amp;row=298&amp;col=10&amp;number=29.16&amp;sourceID=32","29.16")</f>
        <v>29.16</v>
      </c>
      <c r="K298" s="4" t="str">
        <f>HYPERLINK("http://141.218.60.56/~jnz1568/getInfo.php?workbook=10_02.xlsx&amp;sheet=A0&amp;row=298&amp;col=11&amp;number=76144000000&amp;sourceID=46","76144000000")</f>
        <v>76144000000</v>
      </c>
      <c r="L298" s="4" t="str">
        <f>HYPERLINK("http://141.218.60.56/~jnz1568/getInfo.php?workbook=10_02.xlsx&amp;sheet=A0&amp;row=298&amp;col=12&amp;number=&amp;sourceID=47","")</f>
        <v/>
      </c>
    </row>
    <row r="299" spans="1:12">
      <c r="A299" s="3">
        <v>10</v>
      </c>
      <c r="B299" s="3">
        <v>2</v>
      </c>
      <c r="C299" s="3">
        <v>27</v>
      </c>
      <c r="D299" s="3">
        <v>14</v>
      </c>
      <c r="E299" s="3">
        <f>((1/(INDEX(E0!J$4:J$52,C299,1)-INDEX(E0!J$4:J$52,D299,1))))*100000000</f>
        <v>0</v>
      </c>
      <c r="F299" s="4" t="str">
        <f>HYPERLINK("http://141.218.60.56/~jnz1568/getInfo.php?workbook=10_02.xlsx&amp;sheet=A0&amp;row=299&amp;col=6&amp;number=&amp;sourceID=27","")</f>
        <v/>
      </c>
      <c r="G299" s="4" t="str">
        <f>HYPERLINK("http://141.218.60.56/~jnz1568/getInfo.php?workbook=10_02.xlsx&amp;sheet=A0&amp;row=299&amp;col=7&amp;number=13500000000&amp;sourceID=32","13500000000")</f>
        <v>13500000000</v>
      </c>
      <c r="H299" s="4" t="str">
        <f>HYPERLINK("http://141.218.60.56/~jnz1568/getInfo.php?workbook=10_02.xlsx&amp;sheet=A0&amp;row=299&amp;col=8&amp;number=&amp;sourceID=32","")</f>
        <v/>
      </c>
      <c r="I299" s="4" t="str">
        <f>HYPERLINK("http://141.218.60.56/~jnz1568/getInfo.php?workbook=10_02.xlsx&amp;sheet=A0&amp;row=299&amp;col=9&amp;number=&amp;sourceID=32","")</f>
        <v/>
      </c>
      <c r="J299" s="4" t="str">
        <f>HYPERLINK("http://141.218.60.56/~jnz1568/getInfo.php?workbook=10_02.xlsx&amp;sheet=A0&amp;row=299&amp;col=10&amp;number=9.87&amp;sourceID=32","9.87")</f>
        <v>9.87</v>
      </c>
      <c r="K299" s="4" t="str">
        <f>HYPERLINK("http://141.218.60.56/~jnz1568/getInfo.php?workbook=10_02.xlsx&amp;sheet=A0&amp;row=299&amp;col=11&amp;number=13715000000&amp;sourceID=46","13715000000")</f>
        <v>13715000000</v>
      </c>
      <c r="L299" s="4" t="str">
        <f>HYPERLINK("http://141.218.60.56/~jnz1568/getInfo.php?workbook=10_02.xlsx&amp;sheet=A0&amp;row=299&amp;col=12&amp;number=&amp;sourceID=47","")</f>
        <v/>
      </c>
    </row>
    <row r="300" spans="1:12">
      <c r="A300" s="3">
        <v>10</v>
      </c>
      <c r="B300" s="3">
        <v>2</v>
      </c>
      <c r="C300" s="3">
        <v>27</v>
      </c>
      <c r="D300" s="3">
        <v>15</v>
      </c>
      <c r="E300" s="3">
        <f>((1/(INDEX(E0!J$4:J$52,C300,1)-INDEX(E0!J$4:J$52,D300,1))))*100000000</f>
        <v>0</v>
      </c>
      <c r="F300" s="4" t="str">
        <f>HYPERLINK("http://141.218.60.56/~jnz1568/getInfo.php?workbook=10_02.xlsx&amp;sheet=A0&amp;row=300&amp;col=6&amp;number=&amp;sourceID=27","")</f>
        <v/>
      </c>
      <c r="G300" s="4" t="str">
        <f>HYPERLINK("http://141.218.60.56/~jnz1568/getInfo.php?workbook=10_02.xlsx&amp;sheet=A0&amp;row=300&amp;col=7&amp;number=402500000&amp;sourceID=32","402500000")</f>
        <v>402500000</v>
      </c>
      <c r="H300" s="4" t="str">
        <f>HYPERLINK("http://141.218.60.56/~jnz1568/getInfo.php?workbook=10_02.xlsx&amp;sheet=A0&amp;row=300&amp;col=8&amp;number=&amp;sourceID=32","")</f>
        <v/>
      </c>
      <c r="I300" s="4" t="str">
        <f>HYPERLINK("http://141.218.60.56/~jnz1568/getInfo.php?workbook=10_02.xlsx&amp;sheet=A0&amp;row=300&amp;col=9&amp;number=&amp;sourceID=32","")</f>
        <v/>
      </c>
      <c r="J300" s="4" t="str">
        <f>HYPERLINK("http://141.218.60.56/~jnz1568/getInfo.php?workbook=10_02.xlsx&amp;sheet=A0&amp;row=300&amp;col=10&amp;number=1.166e-07&amp;sourceID=32","1.166e-07")</f>
        <v>1.166e-07</v>
      </c>
      <c r="K300" s="4" t="str">
        <f>HYPERLINK("http://141.218.60.56/~jnz1568/getInfo.php?workbook=10_02.xlsx&amp;sheet=A0&amp;row=300&amp;col=11&amp;number=402580000&amp;sourceID=46","402580000")</f>
        <v>402580000</v>
      </c>
      <c r="L300" s="4" t="str">
        <f>HYPERLINK("http://141.218.60.56/~jnz1568/getInfo.php?workbook=10_02.xlsx&amp;sheet=A0&amp;row=300&amp;col=12&amp;number=&amp;sourceID=47","")</f>
        <v/>
      </c>
    </row>
    <row r="301" spans="1:12">
      <c r="A301" s="3">
        <v>10</v>
      </c>
      <c r="B301" s="3">
        <v>2</v>
      </c>
      <c r="C301" s="3">
        <v>27</v>
      </c>
      <c r="D301" s="3">
        <v>16</v>
      </c>
      <c r="E301" s="3">
        <f>((1/(INDEX(E0!J$4:J$52,C301,1)-INDEX(E0!J$4:J$52,D301,1))))*100000000</f>
        <v>0</v>
      </c>
      <c r="F301" s="4" t="str">
        <f>HYPERLINK("http://141.218.60.56/~jnz1568/getInfo.php?workbook=10_02.xlsx&amp;sheet=A0&amp;row=301&amp;col=6&amp;number=&amp;sourceID=27","")</f>
        <v/>
      </c>
      <c r="G301" s="4" t="str">
        <f>HYPERLINK("http://141.218.60.56/~jnz1568/getInfo.php?workbook=10_02.xlsx&amp;sheet=A0&amp;row=301&amp;col=7&amp;number=599900000&amp;sourceID=32","599900000")</f>
        <v>599900000</v>
      </c>
      <c r="H301" s="4" t="str">
        <f>HYPERLINK("http://141.218.60.56/~jnz1568/getInfo.php?workbook=10_02.xlsx&amp;sheet=A0&amp;row=301&amp;col=8&amp;number=&amp;sourceID=32","")</f>
        <v/>
      </c>
      <c r="I301" s="4" t="str">
        <f>HYPERLINK("http://141.218.60.56/~jnz1568/getInfo.php?workbook=10_02.xlsx&amp;sheet=A0&amp;row=301&amp;col=9&amp;number=&amp;sourceID=32","")</f>
        <v/>
      </c>
      <c r="J301" s="4" t="str">
        <f>HYPERLINK("http://141.218.60.56/~jnz1568/getInfo.php?workbook=10_02.xlsx&amp;sheet=A0&amp;row=301&amp;col=10&amp;number=2.619&amp;sourceID=32","2.619")</f>
        <v>2.619</v>
      </c>
      <c r="K301" s="4" t="str">
        <f>HYPERLINK("http://141.218.60.56/~jnz1568/getInfo.php?workbook=10_02.xlsx&amp;sheet=A0&amp;row=301&amp;col=11&amp;number=383210000&amp;sourceID=46","383210000")</f>
        <v>383210000</v>
      </c>
      <c r="L301" s="4" t="str">
        <f>HYPERLINK("http://141.218.60.56/~jnz1568/getInfo.php?workbook=10_02.xlsx&amp;sheet=A0&amp;row=301&amp;col=12&amp;number=&amp;sourceID=47","")</f>
        <v/>
      </c>
    </row>
    <row r="302" spans="1:12">
      <c r="A302" s="3">
        <v>10</v>
      </c>
      <c r="B302" s="3">
        <v>2</v>
      </c>
      <c r="C302" s="3">
        <v>27</v>
      </c>
      <c r="D302" s="3">
        <v>17</v>
      </c>
      <c r="E302" s="3">
        <f>((1/(INDEX(E0!J$4:J$52,C302,1)-INDEX(E0!J$4:J$52,D302,1))))*100000000</f>
        <v>0</v>
      </c>
      <c r="F302" s="4" t="str">
        <f>HYPERLINK("http://141.218.60.56/~jnz1568/getInfo.php?workbook=10_02.xlsx&amp;sheet=A0&amp;row=302&amp;col=6&amp;number=&amp;sourceID=27","")</f>
        <v/>
      </c>
      <c r="G302" s="4" t="str">
        <f>HYPERLINK("http://141.218.60.56/~jnz1568/getInfo.php?workbook=10_02.xlsx&amp;sheet=A0&amp;row=302&amp;col=7&amp;number=&amp;sourceID=32","")</f>
        <v/>
      </c>
      <c r="H302" s="4" t="str">
        <f>HYPERLINK("http://141.218.60.56/~jnz1568/getInfo.php?workbook=10_02.xlsx&amp;sheet=A0&amp;row=302&amp;col=8&amp;number=902.3&amp;sourceID=32","902.3")</f>
        <v>902.3</v>
      </c>
      <c r="I302" s="4" t="str">
        <f>HYPERLINK("http://141.218.60.56/~jnz1568/getInfo.php?workbook=10_02.xlsx&amp;sheet=A0&amp;row=302&amp;col=9&amp;number=0.004279&amp;sourceID=32","0.004279")</f>
        <v>0.004279</v>
      </c>
      <c r="J302" s="4" t="str">
        <f>HYPERLINK("http://141.218.60.56/~jnz1568/getInfo.php?workbook=10_02.xlsx&amp;sheet=A0&amp;row=302&amp;col=10&amp;number=&amp;sourceID=32","")</f>
        <v/>
      </c>
      <c r="K302" s="4" t="str">
        <f>HYPERLINK("http://141.218.60.56/~jnz1568/getInfo.php?workbook=10_02.xlsx&amp;sheet=A0&amp;row=302&amp;col=11&amp;number=634.58&amp;sourceID=46","634.58")</f>
        <v>634.58</v>
      </c>
      <c r="L302" s="4" t="str">
        <f>HYPERLINK("http://141.218.60.56/~jnz1568/getInfo.php?workbook=10_02.xlsx&amp;sheet=A0&amp;row=302&amp;col=12&amp;number=&amp;sourceID=47","")</f>
        <v/>
      </c>
    </row>
    <row r="303" spans="1:12">
      <c r="A303" s="3">
        <v>10</v>
      </c>
      <c r="B303" s="3">
        <v>2</v>
      </c>
      <c r="C303" s="3">
        <v>27</v>
      </c>
      <c r="D303" s="3">
        <v>18</v>
      </c>
      <c r="E303" s="3">
        <f>((1/(INDEX(E0!J$4:J$52,C303,1)-INDEX(E0!J$4:J$52,D303,1))))*100000000</f>
        <v>0</v>
      </c>
      <c r="F303" s="4" t="str">
        <f>HYPERLINK("http://141.218.60.56/~jnz1568/getInfo.php?workbook=10_02.xlsx&amp;sheet=A0&amp;row=303&amp;col=6&amp;number=&amp;sourceID=27","")</f>
        <v/>
      </c>
      <c r="G303" s="4" t="str">
        <f>HYPERLINK("http://141.218.60.56/~jnz1568/getInfo.php?workbook=10_02.xlsx&amp;sheet=A0&amp;row=303&amp;col=7&amp;number=0.2726&amp;sourceID=32","0.2726")</f>
        <v>0.2726</v>
      </c>
      <c r="H303" s="4" t="str">
        <f>HYPERLINK("http://141.218.60.56/~jnz1568/getInfo.php?workbook=10_02.xlsx&amp;sheet=A0&amp;row=303&amp;col=8&amp;number=&amp;sourceID=32","")</f>
        <v/>
      </c>
      <c r="I303" s="4" t="str">
        <f>HYPERLINK("http://141.218.60.56/~jnz1568/getInfo.php?workbook=10_02.xlsx&amp;sheet=A0&amp;row=303&amp;col=9&amp;number=&amp;sourceID=32","")</f>
        <v/>
      </c>
      <c r="J303" s="4" t="str">
        <f>HYPERLINK("http://141.218.60.56/~jnz1568/getInfo.php?workbook=10_02.xlsx&amp;sheet=A0&amp;row=303&amp;col=10&amp;number=6.9e-14&amp;sourceID=32","6.9e-14")</f>
        <v>6.9e-14</v>
      </c>
      <c r="K303" s="4" t="str">
        <f>HYPERLINK("http://141.218.60.56/~jnz1568/getInfo.php?workbook=10_02.xlsx&amp;sheet=A0&amp;row=303&amp;col=11&amp;number=&amp;sourceID=46","")</f>
        <v/>
      </c>
      <c r="L303" s="4" t="str">
        <f>HYPERLINK("http://141.218.60.56/~jnz1568/getInfo.php?workbook=10_02.xlsx&amp;sheet=A0&amp;row=303&amp;col=12&amp;number=&amp;sourceID=47","")</f>
        <v/>
      </c>
    </row>
    <row r="304" spans="1:12">
      <c r="A304" s="3">
        <v>10</v>
      </c>
      <c r="B304" s="3">
        <v>2</v>
      </c>
      <c r="C304" s="3">
        <v>27</v>
      </c>
      <c r="D304" s="3">
        <v>19</v>
      </c>
      <c r="E304" s="3">
        <f>((1/(INDEX(E0!J$4:J$52,C304,1)-INDEX(E0!J$4:J$52,D304,1))))*100000000</f>
        <v>0</v>
      </c>
      <c r="F304" s="4" t="str">
        <f>HYPERLINK("http://141.218.60.56/~jnz1568/getInfo.php?workbook=10_02.xlsx&amp;sheet=A0&amp;row=304&amp;col=6&amp;number=&amp;sourceID=27","")</f>
        <v/>
      </c>
      <c r="G304" s="4" t="str">
        <f>HYPERLINK("http://141.218.60.56/~jnz1568/getInfo.php?workbook=10_02.xlsx&amp;sheet=A0&amp;row=304&amp;col=7&amp;number=&amp;sourceID=32","")</f>
        <v/>
      </c>
      <c r="H304" s="4" t="str">
        <f>HYPERLINK("http://141.218.60.56/~jnz1568/getInfo.php?workbook=10_02.xlsx&amp;sheet=A0&amp;row=304&amp;col=8&amp;number=0.001201&amp;sourceID=32","0.001201")</f>
        <v>0.001201</v>
      </c>
      <c r="I304" s="4" t="str">
        <f>HYPERLINK("http://141.218.60.56/~jnz1568/getInfo.php?workbook=10_02.xlsx&amp;sheet=A0&amp;row=304&amp;col=9&amp;number=&amp;sourceID=32","")</f>
        <v/>
      </c>
      <c r="J304" s="4" t="str">
        <f>HYPERLINK("http://141.218.60.56/~jnz1568/getInfo.php?workbook=10_02.xlsx&amp;sheet=A0&amp;row=304&amp;col=10&amp;number=&amp;sourceID=32","")</f>
        <v/>
      </c>
      <c r="K304" s="4" t="str">
        <f>HYPERLINK("http://141.218.60.56/~jnz1568/getInfo.php?workbook=10_02.xlsx&amp;sheet=A0&amp;row=304&amp;col=11&amp;number=&amp;sourceID=46","")</f>
        <v/>
      </c>
      <c r="L304" s="4" t="str">
        <f>HYPERLINK("http://141.218.60.56/~jnz1568/getInfo.php?workbook=10_02.xlsx&amp;sheet=A0&amp;row=304&amp;col=12&amp;number=&amp;sourceID=47","")</f>
        <v/>
      </c>
    </row>
    <row r="305" spans="1:12">
      <c r="A305" s="3">
        <v>10</v>
      </c>
      <c r="B305" s="3">
        <v>2</v>
      </c>
      <c r="C305" s="3">
        <v>27</v>
      </c>
      <c r="D305" s="3">
        <v>20</v>
      </c>
      <c r="E305" s="3">
        <f>((1/(INDEX(E0!J$4:J$52,C305,1)-INDEX(E0!J$4:J$52,D305,1))))*100000000</f>
        <v>0</v>
      </c>
      <c r="F305" s="4" t="str">
        <f>HYPERLINK("http://141.218.60.56/~jnz1568/getInfo.php?workbook=10_02.xlsx&amp;sheet=A0&amp;row=305&amp;col=6&amp;number=&amp;sourceID=27","")</f>
        <v/>
      </c>
      <c r="G305" s="4" t="str">
        <f>HYPERLINK("http://141.218.60.56/~jnz1568/getInfo.php?workbook=10_02.xlsx&amp;sheet=A0&amp;row=305&amp;col=7&amp;number=&amp;sourceID=32","")</f>
        <v/>
      </c>
      <c r="H305" s="4" t="str">
        <f>HYPERLINK("http://141.218.60.56/~jnz1568/getInfo.php?workbook=10_02.xlsx&amp;sheet=A0&amp;row=305&amp;col=8&amp;number=0.001152&amp;sourceID=32","0.001152")</f>
        <v>0.001152</v>
      </c>
      <c r="I305" s="4" t="str">
        <f>HYPERLINK("http://141.218.60.56/~jnz1568/getInfo.php?workbook=10_02.xlsx&amp;sheet=A0&amp;row=305&amp;col=9&amp;number=3.805e-09&amp;sourceID=32","3.805e-09")</f>
        <v>3.805e-09</v>
      </c>
      <c r="J305" s="4" t="str">
        <f>HYPERLINK("http://141.218.60.56/~jnz1568/getInfo.php?workbook=10_02.xlsx&amp;sheet=A0&amp;row=305&amp;col=10&amp;number=&amp;sourceID=32","")</f>
        <v/>
      </c>
      <c r="K305" s="4" t="str">
        <f>HYPERLINK("http://141.218.60.56/~jnz1568/getInfo.php?workbook=10_02.xlsx&amp;sheet=A0&amp;row=305&amp;col=11&amp;number=&amp;sourceID=46","")</f>
        <v/>
      </c>
      <c r="L305" s="4" t="str">
        <f>HYPERLINK("http://141.218.60.56/~jnz1568/getInfo.php?workbook=10_02.xlsx&amp;sheet=A0&amp;row=305&amp;col=12&amp;number=&amp;sourceID=47","")</f>
        <v/>
      </c>
    </row>
    <row r="306" spans="1:12">
      <c r="A306" s="3">
        <v>10</v>
      </c>
      <c r="B306" s="3">
        <v>2</v>
      </c>
      <c r="C306" s="3">
        <v>27</v>
      </c>
      <c r="D306" s="3">
        <v>21</v>
      </c>
      <c r="E306" s="3">
        <f>((1/(INDEX(E0!J$4:J$52,C306,1)-INDEX(E0!J$4:J$52,D306,1))))*100000000</f>
        <v>0</v>
      </c>
      <c r="F306" s="4" t="str">
        <f>HYPERLINK("http://141.218.60.56/~jnz1568/getInfo.php?workbook=10_02.xlsx&amp;sheet=A0&amp;row=306&amp;col=6&amp;number=&amp;sourceID=27","")</f>
        <v/>
      </c>
      <c r="G306" s="4" t="str">
        <f>HYPERLINK("http://141.218.60.56/~jnz1568/getInfo.php?workbook=10_02.xlsx&amp;sheet=A0&amp;row=306&amp;col=7&amp;number=&amp;sourceID=32","")</f>
        <v/>
      </c>
      <c r="H306" s="4" t="str">
        <f>HYPERLINK("http://141.218.60.56/~jnz1568/getInfo.php?workbook=10_02.xlsx&amp;sheet=A0&amp;row=306&amp;col=8&amp;number=&amp;sourceID=32","")</f>
        <v/>
      </c>
      <c r="I306" s="4" t="str">
        <f>HYPERLINK("http://141.218.60.56/~jnz1568/getInfo.php?workbook=10_02.xlsx&amp;sheet=A0&amp;row=306&amp;col=9&amp;number=&amp;sourceID=32","")</f>
        <v/>
      </c>
      <c r="J306" s="4" t="str">
        <f>HYPERLINK("http://141.218.60.56/~jnz1568/getInfo.php?workbook=10_02.xlsx&amp;sheet=A0&amp;row=306&amp;col=10&amp;number=0&amp;sourceID=32","0")</f>
        <v>0</v>
      </c>
      <c r="K306" s="4" t="str">
        <f>HYPERLINK("http://141.218.60.56/~jnz1568/getInfo.php?workbook=10_02.xlsx&amp;sheet=A0&amp;row=306&amp;col=11&amp;number=&amp;sourceID=46","")</f>
        <v/>
      </c>
      <c r="L306" s="4" t="str">
        <f>HYPERLINK("http://141.218.60.56/~jnz1568/getInfo.php?workbook=10_02.xlsx&amp;sheet=A0&amp;row=306&amp;col=12&amp;number=&amp;sourceID=47","")</f>
        <v/>
      </c>
    </row>
    <row r="307" spans="1:12">
      <c r="A307" s="3">
        <v>10</v>
      </c>
      <c r="B307" s="3">
        <v>2</v>
      </c>
      <c r="C307" s="3">
        <v>27</v>
      </c>
      <c r="D307" s="3">
        <v>22</v>
      </c>
      <c r="E307" s="3">
        <f>((1/(INDEX(E0!J$4:J$52,C307,1)-INDEX(E0!J$4:J$52,D307,1))))*100000000</f>
        <v>0</v>
      </c>
      <c r="F307" s="4" t="str">
        <f>HYPERLINK("http://141.218.60.56/~jnz1568/getInfo.php?workbook=10_02.xlsx&amp;sheet=A0&amp;row=307&amp;col=6&amp;number=&amp;sourceID=27","")</f>
        <v/>
      </c>
      <c r="G307" s="4" t="str">
        <f>HYPERLINK("http://141.218.60.56/~jnz1568/getInfo.php?workbook=10_02.xlsx&amp;sheet=A0&amp;row=307&amp;col=7&amp;number=&amp;sourceID=32","")</f>
        <v/>
      </c>
      <c r="H307" s="4" t="str">
        <f>HYPERLINK("http://141.218.60.56/~jnz1568/getInfo.php?workbook=10_02.xlsx&amp;sheet=A0&amp;row=307&amp;col=8&amp;number=0.0001364&amp;sourceID=32","0.0001364")</f>
        <v>0.0001364</v>
      </c>
      <c r="I307" s="4" t="str">
        <f>HYPERLINK("http://141.218.60.56/~jnz1568/getInfo.php?workbook=10_02.xlsx&amp;sheet=A0&amp;row=307&amp;col=9&amp;number=3.841e-08&amp;sourceID=32","3.841e-08")</f>
        <v>3.841e-08</v>
      </c>
      <c r="J307" s="4" t="str">
        <f>HYPERLINK("http://141.218.60.56/~jnz1568/getInfo.php?workbook=10_02.xlsx&amp;sheet=A0&amp;row=307&amp;col=10&amp;number=&amp;sourceID=32","")</f>
        <v/>
      </c>
      <c r="K307" s="4" t="str">
        <f>HYPERLINK("http://141.218.60.56/~jnz1568/getInfo.php?workbook=10_02.xlsx&amp;sheet=A0&amp;row=307&amp;col=11&amp;number=&amp;sourceID=46","")</f>
        <v/>
      </c>
      <c r="L307" s="4" t="str">
        <f>HYPERLINK("http://141.218.60.56/~jnz1568/getInfo.php?workbook=10_02.xlsx&amp;sheet=A0&amp;row=307&amp;col=12&amp;number=&amp;sourceID=47","")</f>
        <v/>
      </c>
    </row>
    <row r="308" spans="1:12">
      <c r="A308" s="3">
        <v>10</v>
      </c>
      <c r="B308" s="3">
        <v>2</v>
      </c>
      <c r="C308" s="3">
        <v>27</v>
      </c>
      <c r="D308" s="3">
        <v>23</v>
      </c>
      <c r="E308" s="3"/>
      <c r="F308" s="4" t="str">
        <f>HYPERLINK("http://141.218.60.56/~jnz1568/getInfo.php?workbook=10_02.xlsx&amp;sheet=A0&amp;row=308&amp;col=6&amp;number=&amp;sourceID=27","")</f>
        <v/>
      </c>
      <c r="G308" s="4" t="str">
        <f>HYPERLINK("http://141.218.60.56/~jnz1568/getInfo.php?workbook=10_02.xlsx&amp;sheet=A0&amp;row=308&amp;col=7&amp;number=106.4&amp;sourceID=32","106.4")</f>
        <v>106.4</v>
      </c>
      <c r="H308" s="4" t="str">
        <f>HYPERLINK("http://141.218.60.56/~jnz1568/getInfo.php?workbook=10_02.xlsx&amp;sheet=A0&amp;row=308&amp;col=8&amp;number=&amp;sourceID=32","")</f>
        <v/>
      </c>
      <c r="I308" s="4" t="str">
        <f>HYPERLINK("http://141.218.60.56/~jnz1568/getInfo.php?workbook=10_02.xlsx&amp;sheet=A0&amp;row=308&amp;col=9&amp;number=&amp;sourceID=32","")</f>
        <v/>
      </c>
      <c r="J308" s="4" t="str">
        <f>HYPERLINK("http://141.218.60.56/~jnz1568/getInfo.php?workbook=10_02.xlsx&amp;sheet=A0&amp;row=308&amp;col=10&amp;number=2.8e-14&amp;sourceID=32","2.8e-14")</f>
        <v>2.8e-14</v>
      </c>
      <c r="K308" s="4" t="str">
        <f>HYPERLINK("http://141.218.60.56/~jnz1568/getInfo.php?workbook=10_02.xlsx&amp;sheet=A0&amp;row=308&amp;col=11&amp;number=116.27&amp;sourceID=46","116.27")</f>
        <v>116.27</v>
      </c>
      <c r="L308" s="4" t="str">
        <f>HYPERLINK("http://141.218.60.56/~jnz1568/getInfo.php?workbook=10_02.xlsx&amp;sheet=A0&amp;row=308&amp;col=12&amp;number=&amp;sourceID=47","")</f>
        <v/>
      </c>
    </row>
    <row r="309" spans="1:12">
      <c r="A309" s="3">
        <v>10</v>
      </c>
      <c r="B309" s="3">
        <v>2</v>
      </c>
      <c r="C309" s="3">
        <v>27</v>
      </c>
      <c r="D309" s="3">
        <v>24</v>
      </c>
      <c r="E309" s="3"/>
      <c r="F309" s="4" t="str">
        <f>HYPERLINK("http://141.218.60.56/~jnz1568/getInfo.php?workbook=10_02.xlsx&amp;sheet=A0&amp;row=309&amp;col=6&amp;number=&amp;sourceID=27","")</f>
        <v/>
      </c>
      <c r="G309" s="4" t="str">
        <f>HYPERLINK("http://141.218.60.56/~jnz1568/getInfo.php?workbook=10_02.xlsx&amp;sheet=A0&amp;row=309&amp;col=7&amp;number=17.31&amp;sourceID=32","17.31")</f>
        <v>17.31</v>
      </c>
      <c r="H309" s="4" t="str">
        <f>HYPERLINK("http://141.218.60.56/~jnz1568/getInfo.php?workbook=10_02.xlsx&amp;sheet=A0&amp;row=309&amp;col=8&amp;number=&amp;sourceID=32","")</f>
        <v/>
      </c>
      <c r="I309" s="4" t="str">
        <f>HYPERLINK("http://141.218.60.56/~jnz1568/getInfo.php?workbook=10_02.xlsx&amp;sheet=A0&amp;row=309&amp;col=9&amp;number=&amp;sourceID=32","")</f>
        <v/>
      </c>
      <c r="J309" s="4" t="str">
        <f>HYPERLINK("http://141.218.60.56/~jnz1568/getInfo.php?workbook=10_02.xlsx&amp;sheet=A0&amp;row=309&amp;col=10&amp;number=8e-15&amp;sourceID=32","8e-15")</f>
        <v>8e-15</v>
      </c>
      <c r="K309" s="4" t="str">
        <f>HYPERLINK("http://141.218.60.56/~jnz1568/getInfo.php?workbook=10_02.xlsx&amp;sheet=A0&amp;row=309&amp;col=11&amp;number=18.771&amp;sourceID=46","18.771")</f>
        <v>18.771</v>
      </c>
      <c r="L309" s="4" t="str">
        <f>HYPERLINK("http://141.218.60.56/~jnz1568/getInfo.php?workbook=10_02.xlsx&amp;sheet=A0&amp;row=309&amp;col=12&amp;number=&amp;sourceID=47","")</f>
        <v/>
      </c>
    </row>
    <row r="310" spans="1:12">
      <c r="A310" s="3">
        <v>10</v>
      </c>
      <c r="B310" s="3">
        <v>2</v>
      </c>
      <c r="C310" s="3">
        <v>27</v>
      </c>
      <c r="D310" s="3">
        <v>25</v>
      </c>
      <c r="E310" s="3"/>
      <c r="F310" s="4" t="str">
        <f>HYPERLINK("http://141.218.60.56/~jnz1568/getInfo.php?workbook=10_02.xlsx&amp;sheet=A0&amp;row=310&amp;col=6&amp;number=&amp;sourceID=27","")</f>
        <v/>
      </c>
      <c r="G310" s="4" t="str">
        <f>HYPERLINK("http://141.218.60.56/~jnz1568/getInfo.php?workbook=10_02.xlsx&amp;sheet=A0&amp;row=310&amp;col=7&amp;number=0.2808&amp;sourceID=32","0.2808")</f>
        <v>0.2808</v>
      </c>
      <c r="H310" s="4" t="str">
        <f>HYPERLINK("http://141.218.60.56/~jnz1568/getInfo.php?workbook=10_02.xlsx&amp;sheet=A0&amp;row=310&amp;col=8&amp;number=&amp;sourceID=32","")</f>
        <v/>
      </c>
      <c r="I310" s="4" t="str">
        <f>HYPERLINK("http://141.218.60.56/~jnz1568/getInfo.php?workbook=10_02.xlsx&amp;sheet=A0&amp;row=310&amp;col=9&amp;number=&amp;sourceID=32","")</f>
        <v/>
      </c>
      <c r="J310" s="4" t="str">
        <f>HYPERLINK("http://141.218.60.56/~jnz1568/getInfo.php?workbook=10_02.xlsx&amp;sheet=A0&amp;row=310&amp;col=10&amp;number=0&amp;sourceID=32","0")</f>
        <v>0</v>
      </c>
      <c r="K310" s="4" t="str">
        <f>HYPERLINK("http://141.218.60.56/~jnz1568/getInfo.php?workbook=10_02.xlsx&amp;sheet=A0&amp;row=310&amp;col=11&amp;number=&amp;sourceID=46","")</f>
        <v/>
      </c>
      <c r="L310" s="4" t="str">
        <f>HYPERLINK("http://141.218.60.56/~jnz1568/getInfo.php?workbook=10_02.xlsx&amp;sheet=A0&amp;row=310&amp;col=12&amp;number=&amp;sourceID=47","")</f>
        <v/>
      </c>
    </row>
    <row r="311" spans="1:12">
      <c r="A311" s="3">
        <v>10</v>
      </c>
      <c r="B311" s="3">
        <v>2</v>
      </c>
      <c r="C311" s="3">
        <v>28</v>
      </c>
      <c r="D311" s="3">
        <v>2</v>
      </c>
      <c r="E311" s="3">
        <f>((1/(INDEX(E0!J$4:J$52,C311,1)-INDEX(E0!J$4:J$52,D311,1))))*100000000</f>
        <v>0</v>
      </c>
      <c r="F311" s="4" t="str">
        <f>HYPERLINK("http://141.218.60.56/~jnz1568/getInfo.php?workbook=10_02.xlsx&amp;sheet=A0&amp;row=311&amp;col=6&amp;number=&amp;sourceID=27","")</f>
        <v/>
      </c>
      <c r="G311" s="4" t="str">
        <f>HYPERLINK("http://141.218.60.56/~jnz1568/getInfo.php?workbook=10_02.xlsx&amp;sheet=A0&amp;row=311&amp;col=7&amp;number=&amp;sourceID=32","")</f>
        <v/>
      </c>
      <c r="H311" s="4" t="str">
        <f>HYPERLINK("http://141.218.60.56/~jnz1568/getInfo.php?workbook=10_02.xlsx&amp;sheet=A0&amp;row=311&amp;col=8&amp;number=&amp;sourceID=32","")</f>
        <v/>
      </c>
      <c r="I311" s="4" t="str">
        <f>HYPERLINK("http://141.218.60.56/~jnz1568/getInfo.php?workbook=10_02.xlsx&amp;sheet=A0&amp;row=311&amp;col=9&amp;number=&amp;sourceID=32","")</f>
        <v/>
      </c>
      <c r="J311" s="4" t="str">
        <f>HYPERLINK("http://141.218.60.56/~jnz1568/getInfo.php?workbook=10_02.xlsx&amp;sheet=A0&amp;row=311&amp;col=10&amp;number=&amp;sourceID=32","")</f>
        <v/>
      </c>
      <c r="K311" s="4" t="str">
        <f>HYPERLINK("http://141.218.60.56/~jnz1568/getInfo.php?workbook=10_02.xlsx&amp;sheet=A0&amp;row=311&amp;col=11&amp;number=6107.1&amp;sourceID=46","6107.1")</f>
        <v>6107.1</v>
      </c>
      <c r="L311" s="4" t="str">
        <f>HYPERLINK("http://141.218.60.56/~jnz1568/getInfo.php?workbook=10_02.xlsx&amp;sheet=A0&amp;row=311&amp;col=12&amp;number=&amp;sourceID=47","")</f>
        <v/>
      </c>
    </row>
    <row r="312" spans="1:12">
      <c r="A312" s="3">
        <v>10</v>
      </c>
      <c r="B312" s="3">
        <v>2</v>
      </c>
      <c r="C312" s="3">
        <v>28</v>
      </c>
      <c r="D312" s="3">
        <v>5</v>
      </c>
      <c r="E312" s="3">
        <f>((1/(INDEX(E0!J$4:J$52,C312,1)-INDEX(E0!J$4:J$52,D312,1))))*100000000</f>
        <v>0</v>
      </c>
      <c r="F312" s="4" t="str">
        <f>HYPERLINK("http://141.218.60.56/~jnz1568/getInfo.php?workbook=10_02.xlsx&amp;sheet=A0&amp;row=312&amp;col=6&amp;number=&amp;sourceID=27","")</f>
        <v/>
      </c>
      <c r="G312" s="4" t="str">
        <f>HYPERLINK("http://141.218.60.56/~jnz1568/getInfo.php?workbook=10_02.xlsx&amp;sheet=A0&amp;row=312&amp;col=7&amp;number=&amp;sourceID=32","")</f>
        <v/>
      </c>
      <c r="H312" s="4" t="str">
        <f>HYPERLINK("http://141.218.60.56/~jnz1568/getInfo.php?workbook=10_02.xlsx&amp;sheet=A0&amp;row=312&amp;col=8&amp;number=&amp;sourceID=32","")</f>
        <v/>
      </c>
      <c r="I312" s="4" t="str">
        <f>HYPERLINK("http://141.218.60.56/~jnz1568/getInfo.php?workbook=10_02.xlsx&amp;sheet=A0&amp;row=312&amp;col=9&amp;number=&amp;sourceID=32","")</f>
        <v/>
      </c>
      <c r="J312" s="4" t="str">
        <f>HYPERLINK("http://141.218.60.56/~jnz1568/getInfo.php?workbook=10_02.xlsx&amp;sheet=A0&amp;row=312&amp;col=10&amp;number=&amp;sourceID=32","")</f>
        <v/>
      </c>
      <c r="K312" s="4" t="str">
        <f>HYPERLINK("http://141.218.60.56/~jnz1568/getInfo.php?workbook=10_02.xlsx&amp;sheet=A0&amp;row=312&amp;col=11&amp;number=33045000&amp;sourceID=46","33045000")</f>
        <v>33045000</v>
      </c>
      <c r="L312" s="4" t="str">
        <f>HYPERLINK("http://141.218.60.56/~jnz1568/getInfo.php?workbook=10_02.xlsx&amp;sheet=A0&amp;row=312&amp;col=12&amp;number=&amp;sourceID=47","")</f>
        <v/>
      </c>
    </row>
    <row r="313" spans="1:12">
      <c r="A313" s="3">
        <v>10</v>
      </c>
      <c r="B313" s="3">
        <v>2</v>
      </c>
      <c r="C313" s="3">
        <v>28</v>
      </c>
      <c r="D313" s="3">
        <v>8</v>
      </c>
      <c r="E313" s="3">
        <f>((1/(INDEX(E0!J$4:J$52,C313,1)-INDEX(E0!J$4:J$52,D313,1))))*100000000</f>
        <v>0</v>
      </c>
      <c r="F313" s="4" t="str">
        <f>HYPERLINK("http://141.218.60.56/~jnz1568/getInfo.php?workbook=10_02.xlsx&amp;sheet=A0&amp;row=313&amp;col=6&amp;number=&amp;sourceID=27","")</f>
        <v/>
      </c>
      <c r="G313" s="4" t="str">
        <f>HYPERLINK("http://141.218.60.56/~jnz1568/getInfo.php?workbook=10_02.xlsx&amp;sheet=A0&amp;row=313&amp;col=7&amp;number=&amp;sourceID=32","")</f>
        <v/>
      </c>
      <c r="H313" s="4" t="str">
        <f>HYPERLINK("http://141.218.60.56/~jnz1568/getInfo.php?workbook=10_02.xlsx&amp;sheet=A0&amp;row=313&amp;col=8&amp;number=&amp;sourceID=32","")</f>
        <v/>
      </c>
      <c r="I313" s="4" t="str">
        <f>HYPERLINK("http://141.218.60.56/~jnz1568/getInfo.php?workbook=10_02.xlsx&amp;sheet=A0&amp;row=313&amp;col=9&amp;number=&amp;sourceID=32","")</f>
        <v/>
      </c>
      <c r="J313" s="4" t="str">
        <f>HYPERLINK("http://141.218.60.56/~jnz1568/getInfo.php?workbook=10_02.xlsx&amp;sheet=A0&amp;row=313&amp;col=10&amp;number=&amp;sourceID=32","")</f>
        <v/>
      </c>
      <c r="K313" s="4" t="str">
        <f>HYPERLINK("http://141.218.60.56/~jnz1568/getInfo.php?workbook=10_02.xlsx&amp;sheet=A0&amp;row=313&amp;col=11&amp;number=70.434&amp;sourceID=46","70.434")</f>
        <v>70.434</v>
      </c>
      <c r="L313" s="4" t="str">
        <f>HYPERLINK("http://141.218.60.56/~jnz1568/getInfo.php?workbook=10_02.xlsx&amp;sheet=A0&amp;row=313&amp;col=12&amp;number=&amp;sourceID=47","")</f>
        <v/>
      </c>
    </row>
    <row r="314" spans="1:12">
      <c r="A314" s="3">
        <v>10</v>
      </c>
      <c r="B314" s="3">
        <v>2</v>
      </c>
      <c r="C314" s="3">
        <v>28</v>
      </c>
      <c r="D314" s="3">
        <v>12</v>
      </c>
      <c r="E314" s="3">
        <f>((1/(INDEX(E0!J$4:J$52,C314,1)-INDEX(E0!J$4:J$52,D314,1))))*100000000</f>
        <v>0</v>
      </c>
      <c r="F314" s="4" t="str">
        <f>HYPERLINK("http://141.218.60.56/~jnz1568/getInfo.php?workbook=10_02.xlsx&amp;sheet=A0&amp;row=314&amp;col=6&amp;number=&amp;sourceID=27","")</f>
        <v/>
      </c>
      <c r="G314" s="4" t="str">
        <f>HYPERLINK("http://141.218.60.56/~jnz1568/getInfo.php?workbook=10_02.xlsx&amp;sheet=A0&amp;row=314&amp;col=7&amp;number=&amp;sourceID=32","")</f>
        <v/>
      </c>
      <c r="H314" s="4" t="str">
        <f>HYPERLINK("http://141.218.60.56/~jnz1568/getInfo.php?workbook=10_02.xlsx&amp;sheet=A0&amp;row=314&amp;col=8&amp;number=&amp;sourceID=32","")</f>
        <v/>
      </c>
      <c r="I314" s="4" t="str">
        <f>HYPERLINK("http://141.218.60.56/~jnz1568/getInfo.php?workbook=10_02.xlsx&amp;sheet=A0&amp;row=314&amp;col=9&amp;number=&amp;sourceID=32","")</f>
        <v/>
      </c>
      <c r="J314" s="4" t="str">
        <f>HYPERLINK("http://141.218.60.56/~jnz1568/getInfo.php?workbook=10_02.xlsx&amp;sheet=A0&amp;row=314&amp;col=10&amp;number=&amp;sourceID=32","")</f>
        <v/>
      </c>
      <c r="K314" s="4" t="str">
        <f>HYPERLINK("http://141.218.60.56/~jnz1568/getInfo.php?workbook=10_02.xlsx&amp;sheet=A0&amp;row=314&amp;col=11&amp;number=3380900&amp;sourceID=46","3380900")</f>
        <v>3380900</v>
      </c>
      <c r="L314" s="4" t="str">
        <f>HYPERLINK("http://141.218.60.56/~jnz1568/getInfo.php?workbook=10_02.xlsx&amp;sheet=A0&amp;row=314&amp;col=12&amp;number=&amp;sourceID=47","")</f>
        <v/>
      </c>
    </row>
    <row r="315" spans="1:12">
      <c r="A315" s="3">
        <v>10</v>
      </c>
      <c r="B315" s="3">
        <v>2</v>
      </c>
      <c r="C315" s="3">
        <v>28</v>
      </c>
      <c r="D315" s="3">
        <v>14</v>
      </c>
      <c r="E315" s="3">
        <f>((1/(INDEX(E0!J$4:J$52,C315,1)-INDEX(E0!J$4:J$52,D315,1))))*100000000</f>
        <v>0</v>
      </c>
      <c r="F315" s="4" t="str">
        <f>HYPERLINK("http://141.218.60.56/~jnz1568/getInfo.php?workbook=10_02.xlsx&amp;sheet=A0&amp;row=315&amp;col=6&amp;number=&amp;sourceID=27","")</f>
        <v/>
      </c>
      <c r="G315" s="4" t="str">
        <f>HYPERLINK("http://141.218.60.56/~jnz1568/getInfo.php?workbook=10_02.xlsx&amp;sheet=A0&amp;row=315&amp;col=7&amp;number=&amp;sourceID=32","")</f>
        <v/>
      </c>
      <c r="H315" s="4" t="str">
        <f>HYPERLINK("http://141.218.60.56/~jnz1568/getInfo.php?workbook=10_02.xlsx&amp;sheet=A0&amp;row=315&amp;col=8&amp;number=&amp;sourceID=32","")</f>
        <v/>
      </c>
      <c r="I315" s="4" t="str">
        <f>HYPERLINK("http://141.218.60.56/~jnz1568/getInfo.php?workbook=10_02.xlsx&amp;sheet=A0&amp;row=315&amp;col=9&amp;number=&amp;sourceID=32","")</f>
        <v/>
      </c>
      <c r="J315" s="4" t="str">
        <f>HYPERLINK("http://141.218.60.56/~jnz1568/getInfo.php?workbook=10_02.xlsx&amp;sheet=A0&amp;row=315&amp;col=10&amp;number=&amp;sourceID=32","")</f>
        <v/>
      </c>
      <c r="K315" s="4" t="str">
        <f>HYPERLINK("http://141.218.60.56/~jnz1568/getInfo.php?workbook=10_02.xlsx&amp;sheet=A0&amp;row=315&amp;col=11&amp;number=21.981&amp;sourceID=46","21.981")</f>
        <v>21.981</v>
      </c>
      <c r="L315" s="4" t="str">
        <f>HYPERLINK("http://141.218.60.56/~jnz1568/getInfo.php?workbook=10_02.xlsx&amp;sheet=A0&amp;row=315&amp;col=12&amp;number=&amp;sourceID=47","")</f>
        <v/>
      </c>
    </row>
    <row r="316" spans="1:12">
      <c r="A316" s="3">
        <v>10</v>
      </c>
      <c r="B316" s="3">
        <v>2</v>
      </c>
      <c r="C316" s="3">
        <v>28</v>
      </c>
      <c r="D316" s="3">
        <v>15</v>
      </c>
      <c r="E316" s="3">
        <f>((1/(INDEX(E0!J$4:J$52,C316,1)-INDEX(E0!J$4:J$52,D316,1))))*100000000</f>
        <v>0</v>
      </c>
      <c r="F316" s="4" t="str">
        <f>HYPERLINK("http://141.218.60.56/~jnz1568/getInfo.php?workbook=10_02.xlsx&amp;sheet=A0&amp;row=316&amp;col=6&amp;number=&amp;sourceID=27","")</f>
        <v/>
      </c>
      <c r="G316" s="4" t="str">
        <f>HYPERLINK("http://141.218.60.56/~jnz1568/getInfo.php?workbook=10_02.xlsx&amp;sheet=A0&amp;row=316&amp;col=7&amp;number=&amp;sourceID=32","")</f>
        <v/>
      </c>
      <c r="H316" s="4" t="str">
        <f>HYPERLINK("http://141.218.60.56/~jnz1568/getInfo.php?workbook=10_02.xlsx&amp;sheet=A0&amp;row=316&amp;col=8&amp;number=&amp;sourceID=32","")</f>
        <v/>
      </c>
      <c r="I316" s="4" t="str">
        <f>HYPERLINK("http://141.218.60.56/~jnz1568/getInfo.php?workbook=10_02.xlsx&amp;sheet=A0&amp;row=316&amp;col=9&amp;number=&amp;sourceID=32","")</f>
        <v/>
      </c>
      <c r="J316" s="4" t="str">
        <f>HYPERLINK("http://141.218.60.56/~jnz1568/getInfo.php?workbook=10_02.xlsx&amp;sheet=A0&amp;row=316&amp;col=10&amp;number=&amp;sourceID=32","")</f>
        <v/>
      </c>
      <c r="K316" s="4" t="str">
        <f>HYPERLINK("http://141.218.60.56/~jnz1568/getInfo.php?workbook=10_02.xlsx&amp;sheet=A0&amp;row=316&amp;col=11&amp;number=90608000000&amp;sourceID=46","90608000000")</f>
        <v>90608000000</v>
      </c>
      <c r="L316" s="4" t="str">
        <f>HYPERLINK("http://141.218.60.56/~jnz1568/getInfo.php?workbook=10_02.xlsx&amp;sheet=A0&amp;row=316&amp;col=12&amp;number=&amp;sourceID=47","")</f>
        <v/>
      </c>
    </row>
    <row r="317" spans="1:12">
      <c r="A317" s="3">
        <v>10</v>
      </c>
      <c r="B317" s="3">
        <v>2</v>
      </c>
      <c r="C317" s="3">
        <v>28</v>
      </c>
      <c r="D317" s="3">
        <v>16</v>
      </c>
      <c r="E317" s="3">
        <f>((1/(INDEX(E0!J$4:J$52,C317,1)-INDEX(E0!J$4:J$52,D317,1))))*100000000</f>
        <v>0</v>
      </c>
      <c r="F317" s="4" t="str">
        <f>HYPERLINK("http://141.218.60.56/~jnz1568/getInfo.php?workbook=10_02.xlsx&amp;sheet=A0&amp;row=317&amp;col=6&amp;number=&amp;sourceID=27","")</f>
        <v/>
      </c>
      <c r="G317" s="4" t="str">
        <f>HYPERLINK("http://141.218.60.56/~jnz1568/getInfo.php?workbook=10_02.xlsx&amp;sheet=A0&amp;row=317&amp;col=7&amp;number=&amp;sourceID=32","")</f>
        <v/>
      </c>
      <c r="H317" s="4" t="str">
        <f>HYPERLINK("http://141.218.60.56/~jnz1568/getInfo.php?workbook=10_02.xlsx&amp;sheet=A0&amp;row=317&amp;col=8&amp;number=&amp;sourceID=32","")</f>
        <v/>
      </c>
      <c r="I317" s="4" t="str">
        <f>HYPERLINK("http://141.218.60.56/~jnz1568/getInfo.php?workbook=10_02.xlsx&amp;sheet=A0&amp;row=317&amp;col=9&amp;number=&amp;sourceID=32","")</f>
        <v/>
      </c>
      <c r="J317" s="4" t="str">
        <f>HYPERLINK("http://141.218.60.56/~jnz1568/getInfo.php?workbook=10_02.xlsx&amp;sheet=A0&amp;row=317&amp;col=10&amp;number=&amp;sourceID=32","")</f>
        <v/>
      </c>
      <c r="K317" s="4" t="str">
        <f>HYPERLINK("http://141.218.60.56/~jnz1568/getInfo.php?workbook=10_02.xlsx&amp;sheet=A0&amp;row=317&amp;col=11&amp;number=66.267&amp;sourceID=46","66.267")</f>
        <v>66.267</v>
      </c>
      <c r="L317" s="4" t="str">
        <f>HYPERLINK("http://141.218.60.56/~jnz1568/getInfo.php?workbook=10_02.xlsx&amp;sheet=A0&amp;row=317&amp;col=12&amp;number=&amp;sourceID=47","")</f>
        <v/>
      </c>
    </row>
    <row r="318" spans="1:12">
      <c r="A318" s="3">
        <v>10</v>
      </c>
      <c r="B318" s="3">
        <v>2</v>
      </c>
      <c r="C318" s="3">
        <v>28</v>
      </c>
      <c r="D318" s="3">
        <v>25</v>
      </c>
      <c r="E318" s="3"/>
      <c r="F318" s="4" t="str">
        <f>HYPERLINK("http://141.218.60.56/~jnz1568/getInfo.php?workbook=10_02.xlsx&amp;sheet=A0&amp;row=318&amp;col=6&amp;number=&amp;sourceID=27","")</f>
        <v/>
      </c>
      <c r="G318" s="4" t="str">
        <f>HYPERLINK("http://141.218.60.56/~jnz1568/getInfo.php?workbook=10_02.xlsx&amp;sheet=A0&amp;row=318&amp;col=7&amp;number=&amp;sourceID=32","")</f>
        <v/>
      </c>
      <c r="H318" s="4" t="str">
        <f>HYPERLINK("http://141.218.60.56/~jnz1568/getInfo.php?workbook=10_02.xlsx&amp;sheet=A0&amp;row=318&amp;col=8&amp;number=&amp;sourceID=32","")</f>
        <v/>
      </c>
      <c r="I318" s="4" t="str">
        <f>HYPERLINK("http://141.218.60.56/~jnz1568/getInfo.php?workbook=10_02.xlsx&amp;sheet=A0&amp;row=318&amp;col=9&amp;number=&amp;sourceID=32","")</f>
        <v/>
      </c>
      <c r="J318" s="4" t="str">
        <f>HYPERLINK("http://141.218.60.56/~jnz1568/getInfo.php?workbook=10_02.xlsx&amp;sheet=A0&amp;row=318&amp;col=10&amp;number=&amp;sourceID=32","")</f>
        <v/>
      </c>
      <c r="K318" s="4" t="str">
        <f>HYPERLINK("http://141.218.60.56/~jnz1568/getInfo.php?workbook=10_02.xlsx&amp;sheet=A0&amp;row=318&amp;col=11&amp;number=101.51&amp;sourceID=46","101.51")</f>
        <v>101.51</v>
      </c>
      <c r="L318" s="4" t="str">
        <f>HYPERLINK("http://141.218.60.56/~jnz1568/getInfo.php?workbook=10_02.xlsx&amp;sheet=A0&amp;row=318&amp;col=12&amp;number=&amp;sourceID=47","")</f>
        <v/>
      </c>
    </row>
    <row r="319" spans="1:12">
      <c r="A319" s="3">
        <v>10</v>
      </c>
      <c r="B319" s="3">
        <v>2</v>
      </c>
      <c r="C319" s="3">
        <v>29</v>
      </c>
      <c r="D319" s="3">
        <v>1</v>
      </c>
      <c r="E319" s="3"/>
      <c r="F319" s="4" t="str">
        <f>HYPERLINK("http://141.218.60.56/~jnz1568/getInfo.php?workbook=10_02.xlsx&amp;sheet=A0&amp;row=319&amp;col=6&amp;number=&amp;sourceID=27","")</f>
        <v/>
      </c>
      <c r="G319" s="4" t="str">
        <f>HYPERLINK("http://141.218.60.56/~jnz1568/getInfo.php?workbook=10_02.xlsx&amp;sheet=A0&amp;row=319&amp;col=7&amp;number=&amp;sourceID=32","")</f>
        <v/>
      </c>
      <c r="H319" s="4" t="str">
        <f>HYPERLINK("http://141.218.60.56/~jnz1568/getInfo.php?workbook=10_02.xlsx&amp;sheet=A0&amp;row=319&amp;col=8&amp;number=349800000&amp;sourceID=32","349800000")</f>
        <v>349800000</v>
      </c>
      <c r="I319" s="4" t="str">
        <f>HYPERLINK("http://141.218.60.56/~jnz1568/getInfo.php?workbook=10_02.xlsx&amp;sheet=A0&amp;row=319&amp;col=9&amp;number=&amp;sourceID=32","")</f>
        <v/>
      </c>
      <c r="J319" s="4" t="str">
        <f>HYPERLINK("http://141.218.60.56/~jnz1568/getInfo.php?workbook=10_02.xlsx&amp;sheet=A0&amp;row=319&amp;col=10&amp;number=&amp;sourceID=32","")</f>
        <v/>
      </c>
      <c r="K319" s="4" t="str">
        <f>HYPERLINK("http://141.218.60.56/~jnz1568/getInfo.php?workbook=10_02.xlsx&amp;sheet=A0&amp;row=319&amp;col=11&amp;number=354470000&amp;sourceID=46","354470000")</f>
        <v>354470000</v>
      </c>
      <c r="L319" s="4" t="str">
        <f>HYPERLINK("http://141.218.60.56/~jnz1568/getInfo.php?workbook=10_02.xlsx&amp;sheet=A0&amp;row=319&amp;col=12&amp;number=&amp;sourceID=47","")</f>
        <v/>
      </c>
    </row>
    <row r="320" spans="1:12">
      <c r="A320" s="3">
        <v>10</v>
      </c>
      <c r="B320" s="3">
        <v>2</v>
      </c>
      <c r="C320" s="3">
        <v>29</v>
      </c>
      <c r="D320" s="3">
        <v>2</v>
      </c>
      <c r="E320" s="3"/>
      <c r="F320" s="4" t="str">
        <f>HYPERLINK("http://141.218.60.56/~jnz1568/getInfo.php?workbook=10_02.xlsx&amp;sheet=A0&amp;row=320&amp;col=6&amp;number=&amp;sourceID=27","")</f>
        <v/>
      </c>
      <c r="G320" s="4" t="str">
        <f>HYPERLINK("http://141.218.60.56/~jnz1568/getInfo.php?workbook=10_02.xlsx&amp;sheet=A0&amp;row=320&amp;col=7&amp;number=&amp;sourceID=32","")</f>
        <v/>
      </c>
      <c r="H320" s="4" t="str">
        <f>HYPERLINK("http://141.218.60.56/~jnz1568/getInfo.php?workbook=10_02.xlsx&amp;sheet=A0&amp;row=320&amp;col=8&amp;number=143700&amp;sourceID=32","143700")</f>
        <v>143700</v>
      </c>
      <c r="I320" s="4" t="str">
        <f>HYPERLINK("http://141.218.60.56/~jnz1568/getInfo.php?workbook=10_02.xlsx&amp;sheet=A0&amp;row=320&amp;col=9&amp;number=0.1188&amp;sourceID=32","0.1188")</f>
        <v>0.1188</v>
      </c>
      <c r="J320" s="4" t="str">
        <f>HYPERLINK("http://141.218.60.56/~jnz1568/getInfo.php?workbook=10_02.xlsx&amp;sheet=A0&amp;row=320&amp;col=10&amp;number=&amp;sourceID=32","")</f>
        <v/>
      </c>
      <c r="K320" s="4" t="str">
        <f>HYPERLINK("http://141.218.60.56/~jnz1568/getInfo.php?workbook=10_02.xlsx&amp;sheet=A0&amp;row=320&amp;col=11&amp;number=87273&amp;sourceID=46","87273")</f>
        <v>87273</v>
      </c>
      <c r="L320" s="4" t="str">
        <f>HYPERLINK("http://141.218.60.56/~jnz1568/getInfo.php?workbook=10_02.xlsx&amp;sheet=A0&amp;row=320&amp;col=12&amp;number=&amp;sourceID=47","")</f>
        <v/>
      </c>
    </row>
    <row r="321" spans="1:12">
      <c r="A321" s="3">
        <v>10</v>
      </c>
      <c r="B321" s="3">
        <v>2</v>
      </c>
      <c r="C321" s="3">
        <v>29</v>
      </c>
      <c r="D321" s="3">
        <v>3</v>
      </c>
      <c r="E321" s="3"/>
      <c r="F321" s="4" t="str">
        <f>HYPERLINK("http://141.218.60.56/~jnz1568/getInfo.php?workbook=10_02.xlsx&amp;sheet=A0&amp;row=321&amp;col=6&amp;number=&amp;sourceID=27","")</f>
        <v/>
      </c>
      <c r="G321" s="4" t="str">
        <f>HYPERLINK("http://141.218.60.56/~jnz1568/getInfo.php?workbook=10_02.xlsx&amp;sheet=A0&amp;row=321&amp;col=7&amp;number=&amp;sourceID=32","")</f>
        <v/>
      </c>
      <c r="H321" s="4" t="str">
        <f>HYPERLINK("http://141.218.60.56/~jnz1568/getInfo.php?workbook=10_02.xlsx&amp;sheet=A0&amp;row=321&amp;col=8&amp;number=&amp;sourceID=32","")</f>
        <v/>
      </c>
      <c r="I321" s="4" t="str">
        <f>HYPERLINK("http://141.218.60.56/~jnz1568/getInfo.php?workbook=10_02.xlsx&amp;sheet=A0&amp;row=321&amp;col=9&amp;number=&amp;sourceID=32","")</f>
        <v/>
      </c>
      <c r="J321" s="4" t="str">
        <f>HYPERLINK("http://141.218.60.56/~jnz1568/getInfo.php?workbook=10_02.xlsx&amp;sheet=A0&amp;row=321&amp;col=10&amp;number=694.7&amp;sourceID=32","694.7")</f>
        <v>694.7</v>
      </c>
      <c r="K321" s="4" t="str">
        <f>HYPERLINK("http://141.218.60.56/~jnz1568/getInfo.php?workbook=10_02.xlsx&amp;sheet=A0&amp;row=321&amp;col=11&amp;number=683.54&amp;sourceID=46","683.54")</f>
        <v>683.54</v>
      </c>
      <c r="L321" s="4" t="str">
        <f>HYPERLINK("http://141.218.60.56/~jnz1568/getInfo.php?workbook=10_02.xlsx&amp;sheet=A0&amp;row=321&amp;col=12&amp;number=&amp;sourceID=47","")</f>
        <v/>
      </c>
    </row>
    <row r="322" spans="1:12">
      <c r="A322" s="3">
        <v>10</v>
      </c>
      <c r="B322" s="3">
        <v>2</v>
      </c>
      <c r="C322" s="3">
        <v>29</v>
      </c>
      <c r="D322" s="3">
        <v>4</v>
      </c>
      <c r="E322" s="3"/>
      <c r="F322" s="4" t="str">
        <f>HYPERLINK("http://141.218.60.56/~jnz1568/getInfo.php?workbook=10_02.xlsx&amp;sheet=A0&amp;row=322&amp;col=6&amp;number=&amp;sourceID=27","")</f>
        <v/>
      </c>
      <c r="G322" s="4" t="str">
        <f>HYPERLINK("http://141.218.60.56/~jnz1568/getInfo.php?workbook=10_02.xlsx&amp;sheet=A0&amp;row=322&amp;col=7&amp;number=2105000000&amp;sourceID=32","2105000000")</f>
        <v>2105000000</v>
      </c>
      <c r="H322" s="4" t="str">
        <f>HYPERLINK("http://141.218.60.56/~jnz1568/getInfo.php?workbook=10_02.xlsx&amp;sheet=A0&amp;row=322&amp;col=8&amp;number=&amp;sourceID=32","")</f>
        <v/>
      </c>
      <c r="I322" s="4" t="str">
        <f>HYPERLINK("http://141.218.60.56/~jnz1568/getInfo.php?workbook=10_02.xlsx&amp;sheet=A0&amp;row=322&amp;col=9&amp;number=&amp;sourceID=32","")</f>
        <v/>
      </c>
      <c r="J322" s="4" t="str">
        <f>HYPERLINK("http://141.218.60.56/~jnz1568/getInfo.php?workbook=10_02.xlsx&amp;sheet=A0&amp;row=322&amp;col=10&amp;number=1836&amp;sourceID=32","1836")</f>
        <v>1836</v>
      </c>
      <c r="K322" s="4" t="str">
        <f>HYPERLINK("http://141.218.60.56/~jnz1568/getInfo.php?workbook=10_02.xlsx&amp;sheet=A0&amp;row=322&amp;col=11&amp;number=1266000000&amp;sourceID=46","1266000000")</f>
        <v>1266000000</v>
      </c>
      <c r="L322" s="4" t="str">
        <f>HYPERLINK("http://141.218.60.56/~jnz1568/getInfo.php?workbook=10_02.xlsx&amp;sheet=A0&amp;row=322&amp;col=12&amp;number=&amp;sourceID=47","")</f>
        <v/>
      </c>
    </row>
    <row r="323" spans="1:12">
      <c r="A323" s="3">
        <v>10</v>
      </c>
      <c r="B323" s="3">
        <v>2</v>
      </c>
      <c r="C323" s="3">
        <v>29</v>
      </c>
      <c r="D323" s="3">
        <v>5</v>
      </c>
      <c r="E323" s="3"/>
      <c r="F323" s="4" t="str">
        <f>HYPERLINK("http://141.218.60.56/~jnz1568/getInfo.php?workbook=10_02.xlsx&amp;sheet=A0&amp;row=323&amp;col=6&amp;number=&amp;sourceID=27","")</f>
        <v/>
      </c>
      <c r="G323" s="4" t="str">
        <f>HYPERLINK("http://141.218.60.56/~jnz1568/getInfo.php?workbook=10_02.xlsx&amp;sheet=A0&amp;row=323&amp;col=7&amp;number=999000000&amp;sourceID=32","999000000")</f>
        <v>999000000</v>
      </c>
      <c r="H323" s="4" t="str">
        <f>HYPERLINK("http://141.218.60.56/~jnz1568/getInfo.php?workbook=10_02.xlsx&amp;sheet=A0&amp;row=323&amp;col=8&amp;number=&amp;sourceID=32","")</f>
        <v/>
      </c>
      <c r="I323" s="4" t="str">
        <f>HYPERLINK("http://141.218.60.56/~jnz1568/getInfo.php?workbook=10_02.xlsx&amp;sheet=A0&amp;row=323&amp;col=9&amp;number=&amp;sourceID=32","")</f>
        <v/>
      </c>
      <c r="J323" s="4" t="str">
        <f>HYPERLINK("http://141.218.60.56/~jnz1568/getInfo.php?workbook=10_02.xlsx&amp;sheet=A0&amp;row=323&amp;col=10&amp;number=1372&amp;sourceID=32","1372")</f>
        <v>1372</v>
      </c>
      <c r="K323" s="4" t="str">
        <f>HYPERLINK("http://141.218.60.56/~jnz1568/getInfo.php?workbook=10_02.xlsx&amp;sheet=A0&amp;row=323&amp;col=11&amp;number=630570000&amp;sourceID=46","630570000")</f>
        <v>630570000</v>
      </c>
      <c r="L323" s="4" t="str">
        <f>HYPERLINK("http://141.218.60.56/~jnz1568/getInfo.php?workbook=10_02.xlsx&amp;sheet=A0&amp;row=323&amp;col=12&amp;number=&amp;sourceID=47","")</f>
        <v/>
      </c>
    </row>
    <row r="324" spans="1:12">
      <c r="A324" s="3">
        <v>10</v>
      </c>
      <c r="B324" s="3">
        <v>2</v>
      </c>
      <c r="C324" s="3">
        <v>29</v>
      </c>
      <c r="D324" s="3">
        <v>6</v>
      </c>
      <c r="E324" s="3"/>
      <c r="F324" s="4" t="str">
        <f>HYPERLINK("http://141.218.60.56/~jnz1568/getInfo.php?workbook=10_02.xlsx&amp;sheet=A0&amp;row=324&amp;col=6&amp;number=&amp;sourceID=27","")</f>
        <v/>
      </c>
      <c r="G324" s="4" t="str">
        <f>HYPERLINK("http://141.218.60.56/~jnz1568/getInfo.php?workbook=10_02.xlsx&amp;sheet=A0&amp;row=324&amp;col=7&amp;number=&amp;sourceID=32","")</f>
        <v/>
      </c>
      <c r="H324" s="4" t="str">
        <f>HYPERLINK("http://141.218.60.56/~jnz1568/getInfo.php?workbook=10_02.xlsx&amp;sheet=A0&amp;row=324&amp;col=8&amp;number=3335000&amp;sourceID=32","3335000")</f>
        <v>3335000</v>
      </c>
      <c r="I324" s="4" t="str">
        <f>HYPERLINK("http://141.218.60.56/~jnz1568/getInfo.php?workbook=10_02.xlsx&amp;sheet=A0&amp;row=324&amp;col=9&amp;number=&amp;sourceID=32","")</f>
        <v/>
      </c>
      <c r="J324" s="4" t="str">
        <f>HYPERLINK("http://141.218.60.56/~jnz1568/getInfo.php?workbook=10_02.xlsx&amp;sheet=A0&amp;row=324&amp;col=10&amp;number=&amp;sourceID=32","")</f>
        <v/>
      </c>
      <c r="K324" s="4" t="str">
        <f>HYPERLINK("http://141.218.60.56/~jnz1568/getInfo.php?workbook=10_02.xlsx&amp;sheet=A0&amp;row=324&amp;col=11&amp;number=3511400&amp;sourceID=46","3511400")</f>
        <v>3511400</v>
      </c>
      <c r="L324" s="4" t="str">
        <f>HYPERLINK("http://141.218.60.56/~jnz1568/getInfo.php?workbook=10_02.xlsx&amp;sheet=A0&amp;row=324&amp;col=12&amp;number=&amp;sourceID=47","")</f>
        <v/>
      </c>
    </row>
    <row r="325" spans="1:12">
      <c r="A325" s="3">
        <v>10</v>
      </c>
      <c r="B325" s="3">
        <v>2</v>
      </c>
      <c r="C325" s="3">
        <v>29</v>
      </c>
      <c r="D325" s="3">
        <v>7</v>
      </c>
      <c r="E325" s="3"/>
      <c r="F325" s="4" t="str">
        <f>HYPERLINK("http://141.218.60.56/~jnz1568/getInfo.php?workbook=10_02.xlsx&amp;sheet=A0&amp;row=325&amp;col=6&amp;number=&amp;sourceID=27","")</f>
        <v/>
      </c>
      <c r="G325" s="4" t="str">
        <f>HYPERLINK("http://141.218.60.56/~jnz1568/getInfo.php?workbook=10_02.xlsx&amp;sheet=A0&amp;row=325&amp;col=7&amp;number=128500000000&amp;sourceID=32","128500000000")</f>
        <v>128500000000</v>
      </c>
      <c r="H325" s="4" t="str">
        <f>HYPERLINK("http://141.218.60.56/~jnz1568/getInfo.php?workbook=10_02.xlsx&amp;sheet=A0&amp;row=325&amp;col=8&amp;number=&amp;sourceID=32","")</f>
        <v/>
      </c>
      <c r="I325" s="4" t="str">
        <f>HYPERLINK("http://141.218.60.56/~jnz1568/getInfo.php?workbook=10_02.xlsx&amp;sheet=A0&amp;row=325&amp;col=9&amp;number=&amp;sourceID=32","")</f>
        <v/>
      </c>
      <c r="J325" s="4" t="str">
        <f>HYPERLINK("http://141.218.60.56/~jnz1568/getInfo.php?workbook=10_02.xlsx&amp;sheet=A0&amp;row=325&amp;col=10&amp;number=1327&amp;sourceID=32","1327")</f>
        <v>1327</v>
      </c>
      <c r="K325" s="4" t="str">
        <f>HYPERLINK("http://141.218.60.56/~jnz1568/getInfo.php?workbook=10_02.xlsx&amp;sheet=A0&amp;row=325&amp;col=11&amp;number=131260000000&amp;sourceID=46","131260000000")</f>
        <v>131260000000</v>
      </c>
      <c r="L325" s="4" t="str">
        <f>HYPERLINK("http://141.218.60.56/~jnz1568/getInfo.php?workbook=10_02.xlsx&amp;sheet=A0&amp;row=325&amp;col=12&amp;number=&amp;sourceID=47","")</f>
        <v/>
      </c>
    </row>
    <row r="326" spans="1:12">
      <c r="A326" s="3">
        <v>10</v>
      </c>
      <c r="B326" s="3">
        <v>2</v>
      </c>
      <c r="C326" s="3">
        <v>29</v>
      </c>
      <c r="D326" s="3">
        <v>8</v>
      </c>
      <c r="E326" s="3"/>
      <c r="F326" s="4" t="str">
        <f>HYPERLINK("http://141.218.60.56/~jnz1568/getInfo.php?workbook=10_02.xlsx&amp;sheet=A0&amp;row=326&amp;col=6&amp;number=&amp;sourceID=27","")</f>
        <v/>
      </c>
      <c r="G326" s="4" t="str">
        <f>HYPERLINK("http://141.218.60.56/~jnz1568/getInfo.php?workbook=10_02.xlsx&amp;sheet=A0&amp;row=326&amp;col=7&amp;number=&amp;sourceID=32","")</f>
        <v/>
      </c>
      <c r="H326" s="4" t="str">
        <f>HYPERLINK("http://141.218.60.56/~jnz1568/getInfo.php?workbook=10_02.xlsx&amp;sheet=A0&amp;row=326&amp;col=8&amp;number=65470&amp;sourceID=32","65470")</f>
        <v>65470</v>
      </c>
      <c r="I326" s="4" t="str">
        <f>HYPERLINK("http://141.218.60.56/~jnz1568/getInfo.php?workbook=10_02.xlsx&amp;sheet=A0&amp;row=326&amp;col=9&amp;number=0.0009082&amp;sourceID=32","0.0009082")</f>
        <v>0.0009082</v>
      </c>
      <c r="J326" s="4" t="str">
        <f>HYPERLINK("http://141.218.60.56/~jnz1568/getInfo.php?workbook=10_02.xlsx&amp;sheet=A0&amp;row=326&amp;col=10&amp;number=&amp;sourceID=32","")</f>
        <v/>
      </c>
      <c r="K326" s="4" t="str">
        <f>HYPERLINK("http://141.218.60.56/~jnz1568/getInfo.php?workbook=10_02.xlsx&amp;sheet=A0&amp;row=326&amp;col=11&amp;number=41238&amp;sourceID=46","41238")</f>
        <v>41238</v>
      </c>
      <c r="L326" s="4" t="str">
        <f>HYPERLINK("http://141.218.60.56/~jnz1568/getInfo.php?workbook=10_02.xlsx&amp;sheet=A0&amp;row=326&amp;col=12&amp;number=&amp;sourceID=47","")</f>
        <v/>
      </c>
    </row>
    <row r="327" spans="1:12">
      <c r="A327" s="3">
        <v>10</v>
      </c>
      <c r="B327" s="3">
        <v>2</v>
      </c>
      <c r="C327" s="3">
        <v>29</v>
      </c>
      <c r="D327" s="3">
        <v>9</v>
      </c>
      <c r="E327" s="3"/>
      <c r="F327" s="4" t="str">
        <f>HYPERLINK("http://141.218.60.56/~jnz1568/getInfo.php?workbook=10_02.xlsx&amp;sheet=A0&amp;row=327&amp;col=6&amp;number=&amp;sourceID=27","")</f>
        <v/>
      </c>
      <c r="G327" s="4" t="str">
        <f>HYPERLINK("http://141.218.60.56/~jnz1568/getInfo.php?workbook=10_02.xlsx&amp;sheet=A0&amp;row=327&amp;col=7&amp;number=&amp;sourceID=32","")</f>
        <v/>
      </c>
      <c r="H327" s="4" t="str">
        <f>HYPERLINK("http://141.218.60.56/~jnz1568/getInfo.php?workbook=10_02.xlsx&amp;sheet=A0&amp;row=327&amp;col=8&amp;number=&amp;sourceID=32","")</f>
        <v/>
      </c>
      <c r="I327" s="4" t="str">
        <f>HYPERLINK("http://141.218.60.56/~jnz1568/getInfo.php?workbook=10_02.xlsx&amp;sheet=A0&amp;row=327&amp;col=9&amp;number=&amp;sourceID=32","")</f>
        <v/>
      </c>
      <c r="J327" s="4" t="str">
        <f>HYPERLINK("http://141.218.60.56/~jnz1568/getInfo.php?workbook=10_02.xlsx&amp;sheet=A0&amp;row=327&amp;col=10&amp;number=14.76&amp;sourceID=32","14.76")</f>
        <v>14.76</v>
      </c>
      <c r="K327" s="4" t="str">
        <f>HYPERLINK("http://141.218.60.56/~jnz1568/getInfo.php?workbook=10_02.xlsx&amp;sheet=A0&amp;row=327&amp;col=11&amp;number=14.521&amp;sourceID=46","14.521")</f>
        <v>14.521</v>
      </c>
      <c r="L327" s="4" t="str">
        <f>HYPERLINK("http://141.218.60.56/~jnz1568/getInfo.php?workbook=10_02.xlsx&amp;sheet=A0&amp;row=327&amp;col=12&amp;number=&amp;sourceID=47","")</f>
        <v/>
      </c>
    </row>
    <row r="328" spans="1:12">
      <c r="A328" s="3">
        <v>10</v>
      </c>
      <c r="B328" s="3">
        <v>2</v>
      </c>
      <c r="C328" s="3">
        <v>29</v>
      </c>
      <c r="D328" s="3">
        <v>10</v>
      </c>
      <c r="E328" s="3"/>
      <c r="F328" s="4" t="str">
        <f>HYPERLINK("http://141.218.60.56/~jnz1568/getInfo.php?workbook=10_02.xlsx&amp;sheet=A0&amp;row=328&amp;col=6&amp;number=&amp;sourceID=27","")</f>
        <v/>
      </c>
      <c r="G328" s="4" t="str">
        <f>HYPERLINK("http://141.218.60.56/~jnz1568/getInfo.php?workbook=10_02.xlsx&amp;sheet=A0&amp;row=328&amp;col=7&amp;number=648900000&amp;sourceID=32","648900000")</f>
        <v>648900000</v>
      </c>
      <c r="H328" s="4" t="str">
        <f>HYPERLINK("http://141.218.60.56/~jnz1568/getInfo.php?workbook=10_02.xlsx&amp;sheet=A0&amp;row=328&amp;col=8&amp;number=&amp;sourceID=32","")</f>
        <v/>
      </c>
      <c r="I328" s="4" t="str">
        <f>HYPERLINK("http://141.218.60.56/~jnz1568/getInfo.php?workbook=10_02.xlsx&amp;sheet=A0&amp;row=328&amp;col=9&amp;number=&amp;sourceID=32","")</f>
        <v/>
      </c>
      <c r="J328" s="4" t="str">
        <f>HYPERLINK("http://141.218.60.56/~jnz1568/getInfo.php?workbook=10_02.xlsx&amp;sheet=A0&amp;row=328&amp;col=10&amp;number=38.9&amp;sourceID=32","38.9")</f>
        <v>38.9</v>
      </c>
      <c r="K328" s="4" t="str">
        <f>HYPERLINK("http://141.218.60.56/~jnz1568/getInfo.php?workbook=10_02.xlsx&amp;sheet=A0&amp;row=328&amp;col=11&amp;number=394840000&amp;sourceID=46","394840000")</f>
        <v>394840000</v>
      </c>
      <c r="L328" s="4" t="str">
        <f>HYPERLINK("http://141.218.60.56/~jnz1568/getInfo.php?workbook=10_02.xlsx&amp;sheet=A0&amp;row=328&amp;col=12&amp;number=&amp;sourceID=47","")</f>
        <v/>
      </c>
    </row>
    <row r="329" spans="1:12">
      <c r="A329" s="3">
        <v>10</v>
      </c>
      <c r="B329" s="3">
        <v>2</v>
      </c>
      <c r="C329" s="3">
        <v>29</v>
      </c>
      <c r="D329" s="3">
        <v>11</v>
      </c>
      <c r="E329" s="3"/>
      <c r="F329" s="4" t="str">
        <f>HYPERLINK("http://141.218.60.56/~jnz1568/getInfo.php?workbook=10_02.xlsx&amp;sheet=A0&amp;row=329&amp;col=6&amp;number=&amp;sourceID=27","")</f>
        <v/>
      </c>
      <c r="G329" s="4" t="str">
        <f>HYPERLINK("http://141.218.60.56/~jnz1568/getInfo.php?workbook=10_02.xlsx&amp;sheet=A0&amp;row=329&amp;col=7&amp;number=&amp;sourceID=32","")</f>
        <v/>
      </c>
      <c r="H329" s="4" t="str">
        <f>HYPERLINK("http://141.218.60.56/~jnz1568/getInfo.php?workbook=10_02.xlsx&amp;sheet=A0&amp;row=329&amp;col=8&amp;number=2069000&amp;sourceID=32","2069000")</f>
        <v>2069000</v>
      </c>
      <c r="I329" s="4" t="str">
        <f>HYPERLINK("http://141.218.60.56/~jnz1568/getInfo.php?workbook=10_02.xlsx&amp;sheet=A0&amp;row=329&amp;col=9&amp;number=&amp;sourceID=32","")</f>
        <v/>
      </c>
      <c r="J329" s="4" t="str">
        <f>HYPERLINK("http://141.218.60.56/~jnz1568/getInfo.php?workbook=10_02.xlsx&amp;sheet=A0&amp;row=329&amp;col=10&amp;number=&amp;sourceID=32","")</f>
        <v/>
      </c>
      <c r="K329" s="4" t="str">
        <f>HYPERLINK("http://141.218.60.56/~jnz1568/getInfo.php?workbook=10_02.xlsx&amp;sheet=A0&amp;row=329&amp;col=11&amp;number=2086600&amp;sourceID=46","2086600")</f>
        <v>2086600</v>
      </c>
      <c r="L329" s="4" t="str">
        <f>HYPERLINK("http://141.218.60.56/~jnz1568/getInfo.php?workbook=10_02.xlsx&amp;sheet=A0&amp;row=329&amp;col=12&amp;number=&amp;sourceID=47","")</f>
        <v/>
      </c>
    </row>
    <row r="330" spans="1:12">
      <c r="A330" s="3">
        <v>10</v>
      </c>
      <c r="B330" s="3">
        <v>2</v>
      </c>
      <c r="C330" s="3">
        <v>29</v>
      </c>
      <c r="D330" s="3">
        <v>12</v>
      </c>
      <c r="E330" s="3"/>
      <c r="F330" s="4" t="str">
        <f>HYPERLINK("http://141.218.60.56/~jnz1568/getInfo.php?workbook=10_02.xlsx&amp;sheet=A0&amp;row=330&amp;col=6&amp;number=&amp;sourceID=27","")</f>
        <v/>
      </c>
      <c r="G330" s="4" t="str">
        <f>HYPERLINK("http://141.218.60.56/~jnz1568/getInfo.php?workbook=10_02.xlsx&amp;sheet=A0&amp;row=330&amp;col=7&amp;number=317100000&amp;sourceID=32","317100000")</f>
        <v>317100000</v>
      </c>
      <c r="H330" s="4" t="str">
        <f>HYPERLINK("http://141.218.60.56/~jnz1568/getInfo.php?workbook=10_02.xlsx&amp;sheet=A0&amp;row=330&amp;col=8&amp;number=&amp;sourceID=32","")</f>
        <v/>
      </c>
      <c r="I330" s="4" t="str">
        <f>HYPERLINK("http://141.218.60.56/~jnz1568/getInfo.php?workbook=10_02.xlsx&amp;sheet=A0&amp;row=330&amp;col=9&amp;number=&amp;sourceID=32","")</f>
        <v/>
      </c>
      <c r="J330" s="4" t="str">
        <f>HYPERLINK("http://141.218.60.56/~jnz1568/getInfo.php?workbook=10_02.xlsx&amp;sheet=A0&amp;row=330&amp;col=10&amp;number=29.21&amp;sourceID=32","29.21")</f>
        <v>29.21</v>
      </c>
      <c r="K330" s="4" t="str">
        <f>HYPERLINK("http://141.218.60.56/~jnz1568/getInfo.php?workbook=10_02.xlsx&amp;sheet=A0&amp;row=330&amp;col=11&amp;number=199360000&amp;sourceID=46","199360000")</f>
        <v>199360000</v>
      </c>
      <c r="L330" s="4" t="str">
        <f>HYPERLINK("http://141.218.60.56/~jnz1568/getInfo.php?workbook=10_02.xlsx&amp;sheet=A0&amp;row=330&amp;col=12&amp;number=&amp;sourceID=47","")</f>
        <v/>
      </c>
    </row>
    <row r="331" spans="1:12">
      <c r="A331" s="3">
        <v>10</v>
      </c>
      <c r="B331" s="3">
        <v>2</v>
      </c>
      <c r="C331" s="3">
        <v>29</v>
      </c>
      <c r="D331" s="3">
        <v>13</v>
      </c>
      <c r="E331" s="3"/>
      <c r="F331" s="4" t="str">
        <f>HYPERLINK("http://141.218.60.56/~jnz1568/getInfo.php?workbook=10_02.xlsx&amp;sheet=A0&amp;row=331&amp;col=6&amp;number=&amp;sourceID=27","")</f>
        <v/>
      </c>
      <c r="G331" s="4" t="str">
        <f>HYPERLINK("http://141.218.60.56/~jnz1568/getInfo.php?workbook=10_02.xlsx&amp;sheet=A0&amp;row=331&amp;col=7&amp;number=&amp;sourceID=32","")</f>
        <v/>
      </c>
      <c r="H331" s="4" t="str">
        <f>HYPERLINK("http://141.218.60.56/~jnz1568/getInfo.php?workbook=10_02.xlsx&amp;sheet=A0&amp;row=331&amp;col=8&amp;number=6171&amp;sourceID=32","6171")</f>
        <v>6171</v>
      </c>
      <c r="I331" s="4" t="str">
        <f>HYPERLINK("http://141.218.60.56/~jnz1568/getInfo.php?workbook=10_02.xlsx&amp;sheet=A0&amp;row=331&amp;col=9&amp;number=0.03321&amp;sourceID=32","0.03321")</f>
        <v>0.03321</v>
      </c>
      <c r="J331" s="4" t="str">
        <f>HYPERLINK("http://141.218.60.56/~jnz1568/getInfo.php?workbook=10_02.xlsx&amp;sheet=A0&amp;row=331&amp;col=10&amp;number=&amp;sourceID=32","")</f>
        <v/>
      </c>
      <c r="K331" s="4" t="str">
        <f>HYPERLINK("http://141.218.60.56/~jnz1568/getInfo.php?workbook=10_02.xlsx&amp;sheet=A0&amp;row=331&amp;col=11&amp;number=3889.4&amp;sourceID=46","3889.4")</f>
        <v>3889.4</v>
      </c>
      <c r="L331" s="4" t="str">
        <f>HYPERLINK("http://141.218.60.56/~jnz1568/getInfo.php?workbook=10_02.xlsx&amp;sheet=A0&amp;row=331&amp;col=12&amp;number=&amp;sourceID=47","")</f>
        <v/>
      </c>
    </row>
    <row r="332" spans="1:12">
      <c r="A332" s="3">
        <v>10</v>
      </c>
      <c r="B332" s="3">
        <v>2</v>
      </c>
      <c r="C332" s="3">
        <v>29</v>
      </c>
      <c r="D332" s="3">
        <v>14</v>
      </c>
      <c r="E332" s="3"/>
      <c r="F332" s="4" t="str">
        <f>HYPERLINK("http://141.218.60.56/~jnz1568/getInfo.php?workbook=10_02.xlsx&amp;sheet=A0&amp;row=332&amp;col=6&amp;number=&amp;sourceID=27","")</f>
        <v/>
      </c>
      <c r="G332" s="4" t="str">
        <f>HYPERLINK("http://141.218.60.56/~jnz1568/getInfo.php?workbook=10_02.xlsx&amp;sheet=A0&amp;row=332&amp;col=7&amp;number=&amp;sourceID=32","")</f>
        <v/>
      </c>
      <c r="H332" s="4" t="str">
        <f>HYPERLINK("http://141.218.60.56/~jnz1568/getInfo.php?workbook=10_02.xlsx&amp;sheet=A0&amp;row=332&amp;col=8&amp;number=9447&amp;sourceID=32","9447")</f>
        <v>9447</v>
      </c>
      <c r="I332" s="4" t="str">
        <f>HYPERLINK("http://141.218.60.56/~jnz1568/getInfo.php?workbook=10_02.xlsx&amp;sheet=A0&amp;row=332&amp;col=9&amp;number=0.001508&amp;sourceID=32","0.001508")</f>
        <v>0.001508</v>
      </c>
      <c r="J332" s="4" t="str">
        <f>HYPERLINK("http://141.218.60.56/~jnz1568/getInfo.php?workbook=10_02.xlsx&amp;sheet=A0&amp;row=332&amp;col=10&amp;number=&amp;sourceID=32","")</f>
        <v/>
      </c>
      <c r="K332" s="4" t="str">
        <f>HYPERLINK("http://141.218.60.56/~jnz1568/getInfo.php?workbook=10_02.xlsx&amp;sheet=A0&amp;row=332&amp;col=11&amp;number=6143.1&amp;sourceID=46","6143.1")</f>
        <v>6143.1</v>
      </c>
      <c r="L332" s="4" t="str">
        <f>HYPERLINK("http://141.218.60.56/~jnz1568/getInfo.php?workbook=10_02.xlsx&amp;sheet=A0&amp;row=332&amp;col=12&amp;number=&amp;sourceID=47","")</f>
        <v/>
      </c>
    </row>
    <row r="333" spans="1:12">
      <c r="A333" s="3">
        <v>10</v>
      </c>
      <c r="B333" s="3">
        <v>2</v>
      </c>
      <c r="C333" s="3">
        <v>29</v>
      </c>
      <c r="D333" s="3">
        <v>15</v>
      </c>
      <c r="E333" s="3"/>
      <c r="F333" s="4" t="str">
        <f>HYPERLINK("http://141.218.60.56/~jnz1568/getInfo.php?workbook=10_02.xlsx&amp;sheet=A0&amp;row=333&amp;col=6&amp;number=&amp;sourceID=27","")</f>
        <v/>
      </c>
      <c r="G333" s="4" t="str">
        <f>HYPERLINK("http://141.218.60.56/~jnz1568/getInfo.php?workbook=10_02.xlsx&amp;sheet=A0&amp;row=333&amp;col=7&amp;number=&amp;sourceID=32","")</f>
        <v/>
      </c>
      <c r="H333" s="4" t="str">
        <f>HYPERLINK("http://141.218.60.56/~jnz1568/getInfo.php?workbook=10_02.xlsx&amp;sheet=A0&amp;row=333&amp;col=8&amp;number=7040&amp;sourceID=32","7040")</f>
        <v>7040</v>
      </c>
      <c r="I333" s="4" t="str">
        <f>HYPERLINK("http://141.218.60.56/~jnz1568/getInfo.php?workbook=10_02.xlsx&amp;sheet=A0&amp;row=333&amp;col=9&amp;number=0.1268&amp;sourceID=32","0.1268")</f>
        <v>0.1268</v>
      </c>
      <c r="J333" s="4" t="str">
        <f>HYPERLINK("http://141.218.60.56/~jnz1568/getInfo.php?workbook=10_02.xlsx&amp;sheet=A0&amp;row=333&amp;col=10&amp;number=&amp;sourceID=32","")</f>
        <v/>
      </c>
      <c r="K333" s="4" t="str">
        <f>HYPERLINK("http://141.218.60.56/~jnz1568/getInfo.php?workbook=10_02.xlsx&amp;sheet=A0&amp;row=333&amp;col=11&amp;number=4436.8&amp;sourceID=46","4436.8")</f>
        <v>4436.8</v>
      </c>
      <c r="L333" s="4" t="str">
        <f>HYPERLINK("http://141.218.60.56/~jnz1568/getInfo.php?workbook=10_02.xlsx&amp;sheet=A0&amp;row=333&amp;col=12&amp;number=&amp;sourceID=47","")</f>
        <v/>
      </c>
    </row>
    <row r="334" spans="1:12">
      <c r="A334" s="3">
        <v>10</v>
      </c>
      <c r="B334" s="3">
        <v>2</v>
      </c>
      <c r="C334" s="3">
        <v>29</v>
      </c>
      <c r="D334" s="3">
        <v>16</v>
      </c>
      <c r="E334" s="3"/>
      <c r="F334" s="4" t="str">
        <f>HYPERLINK("http://141.218.60.56/~jnz1568/getInfo.php?workbook=10_02.xlsx&amp;sheet=A0&amp;row=334&amp;col=6&amp;number=&amp;sourceID=27","")</f>
        <v/>
      </c>
      <c r="G334" s="4" t="str">
        <f>HYPERLINK("http://141.218.60.56/~jnz1568/getInfo.php?workbook=10_02.xlsx&amp;sheet=A0&amp;row=334&amp;col=7&amp;number=&amp;sourceID=32","")</f>
        <v/>
      </c>
      <c r="H334" s="4" t="str">
        <f>HYPERLINK("http://141.218.60.56/~jnz1568/getInfo.php?workbook=10_02.xlsx&amp;sheet=A0&amp;row=334&amp;col=8&amp;number=609900&amp;sourceID=32","609900")</f>
        <v>609900</v>
      </c>
      <c r="I334" s="4" t="str">
        <f>HYPERLINK("http://141.218.60.56/~jnz1568/getInfo.php?workbook=10_02.xlsx&amp;sheet=A0&amp;row=334&amp;col=9&amp;number=0.1382&amp;sourceID=32","0.1382")</f>
        <v>0.1382</v>
      </c>
      <c r="J334" s="4" t="str">
        <f>HYPERLINK("http://141.218.60.56/~jnz1568/getInfo.php?workbook=10_02.xlsx&amp;sheet=A0&amp;row=334&amp;col=10&amp;number=&amp;sourceID=32","")</f>
        <v/>
      </c>
      <c r="K334" s="4" t="str">
        <f>HYPERLINK("http://141.218.60.56/~jnz1568/getInfo.php?workbook=10_02.xlsx&amp;sheet=A0&amp;row=334&amp;col=11&amp;number=618270&amp;sourceID=46","618270")</f>
        <v>618270</v>
      </c>
      <c r="L334" s="4" t="str">
        <f>HYPERLINK("http://141.218.60.56/~jnz1568/getInfo.php?workbook=10_02.xlsx&amp;sheet=A0&amp;row=334&amp;col=12&amp;number=&amp;sourceID=47","")</f>
        <v/>
      </c>
    </row>
    <row r="335" spans="1:12">
      <c r="A335" s="3">
        <v>10</v>
      </c>
      <c r="B335" s="3">
        <v>2</v>
      </c>
      <c r="C335" s="3">
        <v>29</v>
      </c>
      <c r="D335" s="3">
        <v>17</v>
      </c>
      <c r="E335" s="3"/>
      <c r="F335" s="4" t="str">
        <f>HYPERLINK("http://141.218.60.56/~jnz1568/getInfo.php?workbook=10_02.xlsx&amp;sheet=A0&amp;row=335&amp;col=6&amp;number=&amp;sourceID=27","")</f>
        <v/>
      </c>
      <c r="G335" s="4" t="str">
        <f>HYPERLINK("http://141.218.60.56/~jnz1568/getInfo.php?workbook=10_02.xlsx&amp;sheet=A0&amp;row=335&amp;col=7&amp;number=45350000000&amp;sourceID=32","45350000000")</f>
        <v>45350000000</v>
      </c>
      <c r="H335" s="4" t="str">
        <f>HYPERLINK("http://141.218.60.56/~jnz1568/getInfo.php?workbook=10_02.xlsx&amp;sheet=A0&amp;row=335&amp;col=8&amp;number=&amp;sourceID=32","")</f>
        <v/>
      </c>
      <c r="I335" s="4" t="str">
        <f>HYPERLINK("http://141.218.60.56/~jnz1568/getInfo.php?workbook=10_02.xlsx&amp;sheet=A0&amp;row=335&amp;col=9&amp;number=&amp;sourceID=32","")</f>
        <v/>
      </c>
      <c r="J335" s="4" t="str">
        <f>HYPERLINK("http://141.218.60.56/~jnz1568/getInfo.php?workbook=10_02.xlsx&amp;sheet=A0&amp;row=335&amp;col=10&amp;number=31.43&amp;sourceID=32","31.43")</f>
        <v>31.43</v>
      </c>
      <c r="K335" s="4" t="str">
        <f>HYPERLINK("http://141.218.60.56/~jnz1568/getInfo.php?workbook=10_02.xlsx&amp;sheet=A0&amp;row=335&amp;col=11&amp;number=45848000000&amp;sourceID=46","45848000000")</f>
        <v>45848000000</v>
      </c>
      <c r="L335" s="4" t="str">
        <f>HYPERLINK("http://141.218.60.56/~jnz1568/getInfo.php?workbook=10_02.xlsx&amp;sheet=A0&amp;row=335&amp;col=12&amp;number=&amp;sourceID=47","")</f>
        <v/>
      </c>
    </row>
    <row r="336" spans="1:12">
      <c r="A336" s="3">
        <v>10</v>
      </c>
      <c r="B336" s="3">
        <v>2</v>
      </c>
      <c r="C336" s="3">
        <v>29</v>
      </c>
      <c r="D336" s="3">
        <v>18</v>
      </c>
      <c r="E336" s="3"/>
      <c r="F336" s="4" t="str">
        <f>HYPERLINK("http://141.218.60.56/~jnz1568/getInfo.php?workbook=10_02.xlsx&amp;sheet=A0&amp;row=336&amp;col=6&amp;number=&amp;sourceID=27","")</f>
        <v/>
      </c>
      <c r="G336" s="4" t="str">
        <f>HYPERLINK("http://141.218.60.56/~jnz1568/getInfo.php?workbook=10_02.xlsx&amp;sheet=A0&amp;row=336&amp;col=7&amp;number=&amp;sourceID=32","")</f>
        <v/>
      </c>
      <c r="H336" s="4" t="str">
        <f>HYPERLINK("http://141.218.60.56/~jnz1568/getInfo.php?workbook=10_02.xlsx&amp;sheet=A0&amp;row=336&amp;col=8&amp;number=0.0153&amp;sourceID=32","0.0153")</f>
        <v>0.0153</v>
      </c>
      <c r="I336" s="4" t="str">
        <f>HYPERLINK("http://141.218.60.56/~jnz1568/getInfo.php?workbook=10_02.xlsx&amp;sheet=A0&amp;row=336&amp;col=9&amp;number=7.796e-08&amp;sourceID=32","7.796e-08")</f>
        <v>7.796e-08</v>
      </c>
      <c r="J336" s="4" t="str">
        <f>HYPERLINK("http://141.218.60.56/~jnz1568/getInfo.php?workbook=10_02.xlsx&amp;sheet=A0&amp;row=336&amp;col=10&amp;number=&amp;sourceID=32","")</f>
        <v/>
      </c>
      <c r="K336" s="4" t="str">
        <f>HYPERLINK("http://141.218.60.56/~jnz1568/getInfo.php?workbook=10_02.xlsx&amp;sheet=A0&amp;row=336&amp;col=11&amp;number=&amp;sourceID=46","")</f>
        <v/>
      </c>
      <c r="L336" s="4" t="str">
        <f>HYPERLINK("http://141.218.60.56/~jnz1568/getInfo.php?workbook=10_02.xlsx&amp;sheet=A0&amp;row=336&amp;col=12&amp;number=&amp;sourceID=47","")</f>
        <v/>
      </c>
    </row>
    <row r="337" spans="1:12">
      <c r="A337" s="3">
        <v>10</v>
      </c>
      <c r="B337" s="3">
        <v>2</v>
      </c>
      <c r="C337" s="3">
        <v>29</v>
      </c>
      <c r="D337" s="3">
        <v>19</v>
      </c>
      <c r="E337" s="3"/>
      <c r="F337" s="4" t="str">
        <f>HYPERLINK("http://141.218.60.56/~jnz1568/getInfo.php?workbook=10_02.xlsx&amp;sheet=A0&amp;row=337&amp;col=6&amp;number=&amp;sourceID=27","")</f>
        <v/>
      </c>
      <c r="G337" s="4" t="str">
        <f>HYPERLINK("http://141.218.60.56/~jnz1568/getInfo.php?workbook=10_02.xlsx&amp;sheet=A0&amp;row=337&amp;col=7&amp;number=&amp;sourceID=32","")</f>
        <v/>
      </c>
      <c r="H337" s="4" t="str">
        <f>HYPERLINK("http://141.218.60.56/~jnz1568/getInfo.php?workbook=10_02.xlsx&amp;sheet=A0&amp;row=337&amp;col=8&amp;number=&amp;sourceID=32","")</f>
        <v/>
      </c>
      <c r="I337" s="4" t="str">
        <f>HYPERLINK("http://141.218.60.56/~jnz1568/getInfo.php?workbook=10_02.xlsx&amp;sheet=A0&amp;row=337&amp;col=9&amp;number=&amp;sourceID=32","")</f>
        <v/>
      </c>
      <c r="J337" s="4" t="str">
        <f>HYPERLINK("http://141.218.60.56/~jnz1568/getInfo.php?workbook=10_02.xlsx&amp;sheet=A0&amp;row=337&amp;col=10&amp;number=3.11e-08&amp;sourceID=32","3.11e-08")</f>
        <v>3.11e-08</v>
      </c>
      <c r="K337" s="4" t="str">
        <f>HYPERLINK("http://141.218.60.56/~jnz1568/getInfo.php?workbook=10_02.xlsx&amp;sheet=A0&amp;row=337&amp;col=11&amp;number=&amp;sourceID=46","")</f>
        <v/>
      </c>
      <c r="L337" s="4" t="str">
        <f>HYPERLINK("http://141.218.60.56/~jnz1568/getInfo.php?workbook=10_02.xlsx&amp;sheet=A0&amp;row=337&amp;col=12&amp;number=&amp;sourceID=47","")</f>
        <v/>
      </c>
    </row>
    <row r="338" spans="1:12">
      <c r="A338" s="3">
        <v>10</v>
      </c>
      <c r="B338" s="3">
        <v>2</v>
      </c>
      <c r="C338" s="3">
        <v>29</v>
      </c>
      <c r="D338" s="3">
        <v>20</v>
      </c>
      <c r="E338" s="3"/>
      <c r="F338" s="4" t="str">
        <f>HYPERLINK("http://141.218.60.56/~jnz1568/getInfo.php?workbook=10_02.xlsx&amp;sheet=A0&amp;row=338&amp;col=6&amp;number=&amp;sourceID=27","")</f>
        <v/>
      </c>
      <c r="G338" s="4" t="str">
        <f>HYPERLINK("http://141.218.60.56/~jnz1568/getInfo.php?workbook=10_02.xlsx&amp;sheet=A0&amp;row=338&amp;col=7&amp;number=9146&amp;sourceID=32","9146")</f>
        <v>9146</v>
      </c>
      <c r="H338" s="4" t="str">
        <f>HYPERLINK("http://141.218.60.56/~jnz1568/getInfo.php?workbook=10_02.xlsx&amp;sheet=A0&amp;row=338&amp;col=8&amp;number=&amp;sourceID=32","")</f>
        <v/>
      </c>
      <c r="I338" s="4" t="str">
        <f>HYPERLINK("http://141.218.60.56/~jnz1568/getInfo.php?workbook=10_02.xlsx&amp;sheet=A0&amp;row=338&amp;col=9&amp;number=&amp;sourceID=32","")</f>
        <v/>
      </c>
      <c r="J338" s="4" t="str">
        <f>HYPERLINK("http://141.218.60.56/~jnz1568/getInfo.php?workbook=10_02.xlsx&amp;sheet=A0&amp;row=338&amp;col=10&amp;number=7.86e-08&amp;sourceID=32","7.86e-08")</f>
        <v>7.86e-08</v>
      </c>
      <c r="K338" s="4" t="str">
        <f>HYPERLINK("http://141.218.60.56/~jnz1568/getInfo.php?workbook=10_02.xlsx&amp;sheet=A0&amp;row=338&amp;col=11&amp;number=6570.5&amp;sourceID=46","6570.5")</f>
        <v>6570.5</v>
      </c>
      <c r="L338" s="4" t="str">
        <f>HYPERLINK("http://141.218.60.56/~jnz1568/getInfo.php?workbook=10_02.xlsx&amp;sheet=A0&amp;row=338&amp;col=12&amp;number=&amp;sourceID=47","")</f>
        <v/>
      </c>
    </row>
    <row r="339" spans="1:12">
      <c r="A339" s="3">
        <v>10</v>
      </c>
      <c r="B339" s="3">
        <v>2</v>
      </c>
      <c r="C339" s="3">
        <v>29</v>
      </c>
      <c r="D339" s="3">
        <v>21</v>
      </c>
      <c r="E339" s="3"/>
      <c r="F339" s="4" t="str">
        <f>HYPERLINK("http://141.218.60.56/~jnz1568/getInfo.php?workbook=10_02.xlsx&amp;sheet=A0&amp;row=339&amp;col=6&amp;number=&amp;sourceID=27","")</f>
        <v/>
      </c>
      <c r="G339" s="4" t="str">
        <f>HYPERLINK("http://141.218.60.56/~jnz1568/getInfo.php?workbook=10_02.xlsx&amp;sheet=A0&amp;row=339&amp;col=7&amp;number=&amp;sourceID=32","")</f>
        <v/>
      </c>
      <c r="H339" s="4" t="str">
        <f>HYPERLINK("http://141.218.60.56/~jnz1568/getInfo.php?workbook=10_02.xlsx&amp;sheet=A0&amp;row=339&amp;col=8&amp;number=0.003885&amp;sourceID=32","0.003885")</f>
        <v>0.003885</v>
      </c>
      <c r="I339" s="4" t="str">
        <f>HYPERLINK("http://141.218.60.56/~jnz1568/getInfo.php?workbook=10_02.xlsx&amp;sheet=A0&amp;row=339&amp;col=9&amp;number=&amp;sourceID=32","")</f>
        <v/>
      </c>
      <c r="J339" s="4" t="str">
        <f>HYPERLINK("http://141.218.60.56/~jnz1568/getInfo.php?workbook=10_02.xlsx&amp;sheet=A0&amp;row=339&amp;col=10&amp;number=&amp;sourceID=32","")</f>
        <v/>
      </c>
      <c r="K339" s="4" t="str">
        <f>HYPERLINK("http://141.218.60.56/~jnz1568/getInfo.php?workbook=10_02.xlsx&amp;sheet=A0&amp;row=339&amp;col=11&amp;number=&amp;sourceID=46","")</f>
        <v/>
      </c>
      <c r="L339" s="4" t="str">
        <f>HYPERLINK("http://141.218.60.56/~jnz1568/getInfo.php?workbook=10_02.xlsx&amp;sheet=A0&amp;row=339&amp;col=12&amp;number=&amp;sourceID=47","")</f>
        <v/>
      </c>
    </row>
    <row r="340" spans="1:12">
      <c r="A340" s="3">
        <v>10</v>
      </c>
      <c r="B340" s="3">
        <v>2</v>
      </c>
      <c r="C340" s="3">
        <v>29</v>
      </c>
      <c r="D340" s="3">
        <v>22</v>
      </c>
      <c r="E340" s="3"/>
      <c r="F340" s="4" t="str">
        <f>HYPERLINK("http://141.218.60.56/~jnz1568/getInfo.php?workbook=10_02.xlsx&amp;sheet=A0&amp;row=340&amp;col=6&amp;number=&amp;sourceID=27","")</f>
        <v/>
      </c>
      <c r="G340" s="4" t="str">
        <f>HYPERLINK("http://141.218.60.56/~jnz1568/getInfo.php?workbook=10_02.xlsx&amp;sheet=A0&amp;row=340&amp;col=7&amp;number=4028&amp;sourceID=32","4028")</f>
        <v>4028</v>
      </c>
      <c r="H340" s="4" t="str">
        <f>HYPERLINK("http://141.218.60.56/~jnz1568/getInfo.php?workbook=10_02.xlsx&amp;sheet=A0&amp;row=340&amp;col=8&amp;number=&amp;sourceID=32","")</f>
        <v/>
      </c>
      <c r="I340" s="4" t="str">
        <f>HYPERLINK("http://141.218.60.56/~jnz1568/getInfo.php?workbook=10_02.xlsx&amp;sheet=A0&amp;row=340&amp;col=9&amp;number=&amp;sourceID=32","")</f>
        <v/>
      </c>
      <c r="J340" s="4" t="str">
        <f>HYPERLINK("http://141.218.60.56/~jnz1568/getInfo.php?workbook=10_02.xlsx&amp;sheet=A0&amp;row=340&amp;col=10&amp;number=4.907e-08&amp;sourceID=32","4.907e-08")</f>
        <v>4.907e-08</v>
      </c>
      <c r="K340" s="4" t="str">
        <f>HYPERLINK("http://141.218.60.56/~jnz1568/getInfo.php?workbook=10_02.xlsx&amp;sheet=A0&amp;row=340&amp;col=11&amp;number=2919.1&amp;sourceID=46","2919.1")</f>
        <v>2919.1</v>
      </c>
      <c r="L340" s="4" t="str">
        <f>HYPERLINK("http://141.218.60.56/~jnz1568/getInfo.php?workbook=10_02.xlsx&amp;sheet=A0&amp;row=340&amp;col=12&amp;number=&amp;sourceID=47","")</f>
        <v/>
      </c>
    </row>
    <row r="341" spans="1:12">
      <c r="A341" s="3">
        <v>10</v>
      </c>
      <c r="B341" s="3">
        <v>2</v>
      </c>
      <c r="C341" s="3">
        <v>29</v>
      </c>
      <c r="D341" s="3">
        <v>23</v>
      </c>
      <c r="E341" s="3"/>
      <c r="F341" s="4" t="str">
        <f>HYPERLINK("http://141.218.60.56/~jnz1568/getInfo.php?workbook=10_02.xlsx&amp;sheet=A0&amp;row=341&amp;col=6&amp;number=&amp;sourceID=27","")</f>
        <v/>
      </c>
      <c r="G341" s="4" t="str">
        <f>HYPERLINK("http://141.218.60.56/~jnz1568/getInfo.php?workbook=10_02.xlsx&amp;sheet=A0&amp;row=341&amp;col=7&amp;number=&amp;sourceID=32","")</f>
        <v/>
      </c>
      <c r="H341" s="4" t="str">
        <f>HYPERLINK("http://141.218.60.56/~jnz1568/getInfo.php?workbook=10_02.xlsx&amp;sheet=A0&amp;row=341&amp;col=8&amp;number=8.499e-11&amp;sourceID=32","8.499e-11")</f>
        <v>8.499e-11</v>
      </c>
      <c r="I341" s="4" t="str">
        <f>HYPERLINK("http://141.218.60.56/~jnz1568/getInfo.php?workbook=10_02.xlsx&amp;sheet=A0&amp;row=341&amp;col=9&amp;number=3.501e-05&amp;sourceID=32","3.501e-05")</f>
        <v>3.501e-05</v>
      </c>
      <c r="J341" s="4" t="str">
        <f>HYPERLINK("http://141.218.60.56/~jnz1568/getInfo.php?workbook=10_02.xlsx&amp;sheet=A0&amp;row=341&amp;col=10&amp;number=&amp;sourceID=32","")</f>
        <v/>
      </c>
      <c r="K341" s="4" t="str">
        <f>HYPERLINK("http://141.218.60.56/~jnz1568/getInfo.php?workbook=10_02.xlsx&amp;sheet=A0&amp;row=341&amp;col=11&amp;number=&amp;sourceID=46","")</f>
        <v/>
      </c>
      <c r="L341" s="4" t="str">
        <f>HYPERLINK("http://141.218.60.56/~jnz1568/getInfo.php?workbook=10_02.xlsx&amp;sheet=A0&amp;row=341&amp;col=12&amp;number=&amp;sourceID=47","")</f>
        <v/>
      </c>
    </row>
    <row r="342" spans="1:12">
      <c r="A342" s="3">
        <v>10</v>
      </c>
      <c r="B342" s="3">
        <v>2</v>
      </c>
      <c r="C342" s="3">
        <v>29</v>
      </c>
      <c r="D342" s="3">
        <v>24</v>
      </c>
      <c r="E342" s="3"/>
      <c r="F342" s="4" t="str">
        <f>HYPERLINK("http://141.218.60.56/~jnz1568/getInfo.php?workbook=10_02.xlsx&amp;sheet=A0&amp;row=342&amp;col=6&amp;number=&amp;sourceID=27","")</f>
        <v/>
      </c>
      <c r="G342" s="4" t="str">
        <f>HYPERLINK("http://141.218.60.56/~jnz1568/getInfo.php?workbook=10_02.xlsx&amp;sheet=A0&amp;row=342&amp;col=7&amp;number=&amp;sourceID=32","")</f>
        <v/>
      </c>
      <c r="H342" s="4" t="str">
        <f>HYPERLINK("http://141.218.60.56/~jnz1568/getInfo.php?workbook=10_02.xlsx&amp;sheet=A0&amp;row=342&amp;col=8&amp;number=5.005e-11&amp;sourceID=32","5.005e-11")</f>
        <v>5.005e-11</v>
      </c>
      <c r="I342" s="4" t="str">
        <f>HYPERLINK("http://141.218.60.56/~jnz1568/getInfo.php?workbook=10_02.xlsx&amp;sheet=A0&amp;row=342&amp;col=9&amp;number=5.895e-06&amp;sourceID=32","5.895e-06")</f>
        <v>5.895e-06</v>
      </c>
      <c r="J342" s="4" t="str">
        <f>HYPERLINK("http://141.218.60.56/~jnz1568/getInfo.php?workbook=10_02.xlsx&amp;sheet=A0&amp;row=342&amp;col=10&amp;number=&amp;sourceID=32","")</f>
        <v/>
      </c>
      <c r="K342" s="4" t="str">
        <f>HYPERLINK("http://141.218.60.56/~jnz1568/getInfo.php?workbook=10_02.xlsx&amp;sheet=A0&amp;row=342&amp;col=11&amp;number=&amp;sourceID=46","")</f>
        <v/>
      </c>
      <c r="L342" s="4" t="str">
        <f>HYPERLINK("http://141.218.60.56/~jnz1568/getInfo.php?workbook=10_02.xlsx&amp;sheet=A0&amp;row=342&amp;col=12&amp;number=&amp;sourceID=47","")</f>
        <v/>
      </c>
    </row>
    <row r="343" spans="1:12">
      <c r="A343" s="3">
        <v>10</v>
      </c>
      <c r="B343" s="3">
        <v>2</v>
      </c>
      <c r="C343" s="3">
        <v>29</v>
      </c>
      <c r="D343" s="3">
        <v>25</v>
      </c>
      <c r="E343" s="3"/>
      <c r="F343" s="4" t="str">
        <f>HYPERLINK("http://141.218.60.56/~jnz1568/getInfo.php?workbook=10_02.xlsx&amp;sheet=A0&amp;row=343&amp;col=6&amp;number=&amp;sourceID=27","")</f>
        <v/>
      </c>
      <c r="G343" s="4" t="str">
        <f>HYPERLINK("http://141.218.60.56/~jnz1568/getInfo.php?workbook=10_02.xlsx&amp;sheet=A0&amp;row=343&amp;col=7&amp;number=&amp;sourceID=32","")</f>
        <v/>
      </c>
      <c r="H343" s="4" t="str">
        <f>HYPERLINK("http://141.218.60.56/~jnz1568/getInfo.php?workbook=10_02.xlsx&amp;sheet=A0&amp;row=343&amp;col=8&amp;number=3.175e-11&amp;sourceID=32","3.175e-11")</f>
        <v>3.175e-11</v>
      </c>
      <c r="I343" s="4" t="str">
        <f>HYPERLINK("http://141.218.60.56/~jnz1568/getInfo.php?workbook=10_02.xlsx&amp;sheet=A0&amp;row=343&amp;col=9&amp;number=1.782e-05&amp;sourceID=32","1.782e-05")</f>
        <v>1.782e-05</v>
      </c>
      <c r="J343" s="4" t="str">
        <f>HYPERLINK("http://141.218.60.56/~jnz1568/getInfo.php?workbook=10_02.xlsx&amp;sheet=A0&amp;row=343&amp;col=10&amp;number=&amp;sourceID=32","")</f>
        <v/>
      </c>
      <c r="K343" s="4" t="str">
        <f>HYPERLINK("http://141.218.60.56/~jnz1568/getInfo.php?workbook=10_02.xlsx&amp;sheet=A0&amp;row=343&amp;col=11&amp;number=&amp;sourceID=46","")</f>
        <v/>
      </c>
      <c r="L343" s="4" t="str">
        <f>HYPERLINK("http://141.218.60.56/~jnz1568/getInfo.php?workbook=10_02.xlsx&amp;sheet=A0&amp;row=343&amp;col=12&amp;number=&amp;sourceID=47","")</f>
        <v/>
      </c>
    </row>
    <row r="344" spans="1:12">
      <c r="A344" s="3">
        <v>10</v>
      </c>
      <c r="B344" s="3">
        <v>2</v>
      </c>
      <c r="C344" s="3">
        <v>29</v>
      </c>
      <c r="D344" s="3">
        <v>26</v>
      </c>
      <c r="E344" s="3"/>
      <c r="F344" s="4" t="str">
        <f>HYPERLINK("http://141.218.60.56/~jnz1568/getInfo.php?workbook=10_02.xlsx&amp;sheet=A0&amp;row=344&amp;col=6&amp;number=&amp;sourceID=27","")</f>
        <v/>
      </c>
      <c r="G344" s="4" t="str">
        <f>HYPERLINK("http://141.218.60.56/~jnz1568/getInfo.php?workbook=10_02.xlsx&amp;sheet=A0&amp;row=344&amp;col=7&amp;number=&amp;sourceID=32","")</f>
        <v/>
      </c>
      <c r="H344" s="4" t="str">
        <f>HYPERLINK("http://141.218.60.56/~jnz1568/getInfo.php?workbook=10_02.xlsx&amp;sheet=A0&amp;row=344&amp;col=8&amp;number=&amp;sourceID=32","")</f>
        <v/>
      </c>
      <c r="I344" s="4" t="str">
        <f>HYPERLINK("http://141.218.60.56/~jnz1568/getInfo.php?workbook=10_02.xlsx&amp;sheet=A0&amp;row=344&amp;col=9&amp;number=&amp;sourceID=32","")</f>
        <v/>
      </c>
      <c r="J344" s="4" t="str">
        <f>HYPERLINK("http://141.218.60.56/~jnz1568/getInfo.php?workbook=10_02.xlsx&amp;sheet=A0&amp;row=344&amp;col=10&amp;number=&amp;sourceID=32","")</f>
        <v/>
      </c>
      <c r="K344" s="4" t="str">
        <f>HYPERLINK("http://141.218.60.56/~jnz1568/getInfo.php?workbook=10_02.xlsx&amp;sheet=A0&amp;row=344&amp;col=11&amp;number=1.3399&amp;sourceID=46","1.3399")</f>
        <v>1.3399</v>
      </c>
      <c r="L344" s="4" t="str">
        <f>HYPERLINK("http://141.218.60.56/~jnz1568/getInfo.php?workbook=10_02.xlsx&amp;sheet=A0&amp;row=344&amp;col=12&amp;number=&amp;sourceID=47","")</f>
        <v/>
      </c>
    </row>
    <row r="345" spans="1:12">
      <c r="A345" s="3">
        <v>10</v>
      </c>
      <c r="B345" s="3">
        <v>2</v>
      </c>
      <c r="C345" s="3">
        <v>30</v>
      </c>
      <c r="D345" s="3">
        <v>1</v>
      </c>
      <c r="E345" s="3">
        <f>((1/(INDEX(E0!J$4:J$52,C345,1)-INDEX(E0!J$4:J$52,D345,1))))*100000000</f>
        <v>0</v>
      </c>
      <c r="F345" s="4" t="str">
        <f>HYPERLINK("http://141.218.60.56/~jnz1568/getInfo.php?workbook=10_02.xlsx&amp;sheet=A0&amp;row=345&amp;col=6&amp;number=&amp;sourceID=27","")</f>
        <v/>
      </c>
      <c r="G345" s="4" t="str">
        <f>HYPERLINK("http://141.218.60.56/~jnz1568/getInfo.php?workbook=10_02.xlsx&amp;sheet=A0&amp;row=345&amp;col=7&amp;number=&amp;sourceID=32","")</f>
        <v/>
      </c>
      <c r="H345" s="4" t="str">
        <f>HYPERLINK("http://141.218.60.56/~jnz1568/getInfo.php?workbook=10_02.xlsx&amp;sheet=A0&amp;row=345&amp;col=8&amp;number=&amp;sourceID=32","")</f>
        <v/>
      </c>
      <c r="I345" s="4" t="str">
        <f>HYPERLINK("http://141.218.60.56/~jnz1568/getInfo.php?workbook=10_02.xlsx&amp;sheet=A0&amp;row=345&amp;col=9&amp;number=&amp;sourceID=32","")</f>
        <v/>
      </c>
      <c r="J345" s="4" t="str">
        <f>HYPERLINK("http://141.218.60.56/~jnz1568/getInfo.php?workbook=10_02.xlsx&amp;sheet=A0&amp;row=345&amp;col=10&amp;number=&amp;sourceID=32","")</f>
        <v/>
      </c>
      <c r="K345" s="4" t="str">
        <f>HYPERLINK("http://141.218.60.56/~jnz1568/getInfo.php?workbook=10_02.xlsx&amp;sheet=A0&amp;row=345&amp;col=11&amp;number=16076&amp;sourceID=46","16076")</f>
        <v>16076</v>
      </c>
      <c r="L345" s="4" t="str">
        <f>HYPERLINK("http://141.218.60.56/~jnz1568/getInfo.php?workbook=10_02.xlsx&amp;sheet=A0&amp;row=345&amp;col=12&amp;number=&amp;sourceID=47","")</f>
        <v/>
      </c>
    </row>
    <row r="346" spans="1:12">
      <c r="A346" s="3">
        <v>10</v>
      </c>
      <c r="B346" s="3">
        <v>2</v>
      </c>
      <c r="C346" s="3">
        <v>30</v>
      </c>
      <c r="D346" s="3">
        <v>2</v>
      </c>
      <c r="E346" s="3">
        <f>((1/(INDEX(E0!J$4:J$52,C346,1)-INDEX(E0!J$4:J$52,D346,1))))*100000000</f>
        <v>0</v>
      </c>
      <c r="F346" s="4" t="str">
        <f>HYPERLINK("http://141.218.60.56/~jnz1568/getInfo.php?workbook=10_02.xlsx&amp;sheet=A0&amp;row=346&amp;col=6&amp;number=&amp;sourceID=27","")</f>
        <v/>
      </c>
      <c r="G346" s="4" t="str">
        <f>HYPERLINK("http://141.218.60.56/~jnz1568/getInfo.php?workbook=10_02.xlsx&amp;sheet=A0&amp;row=346&amp;col=7&amp;number=&amp;sourceID=32","")</f>
        <v/>
      </c>
      <c r="H346" s="4" t="str">
        <f>HYPERLINK("http://141.218.60.56/~jnz1568/getInfo.php?workbook=10_02.xlsx&amp;sheet=A0&amp;row=346&amp;col=8&amp;number=&amp;sourceID=32","")</f>
        <v/>
      </c>
      <c r="I346" s="4" t="str">
        <f>HYPERLINK("http://141.218.60.56/~jnz1568/getInfo.php?workbook=10_02.xlsx&amp;sheet=A0&amp;row=346&amp;col=9&amp;number=&amp;sourceID=32","")</f>
        <v/>
      </c>
      <c r="J346" s="4" t="str">
        <f>HYPERLINK("http://141.218.60.56/~jnz1568/getInfo.php?workbook=10_02.xlsx&amp;sheet=A0&amp;row=346&amp;col=10&amp;number=2.449e-06&amp;sourceID=32","2.449e-06")</f>
        <v>2.449e-06</v>
      </c>
      <c r="K346" s="4" t="str">
        <f>HYPERLINK("http://141.218.60.56/~jnz1568/getInfo.php?workbook=10_02.xlsx&amp;sheet=A0&amp;row=346&amp;col=11&amp;number=2423.2&amp;sourceID=46","2423.2")</f>
        <v>2423.2</v>
      </c>
      <c r="L346" s="4" t="str">
        <f>HYPERLINK("http://141.218.60.56/~jnz1568/getInfo.php?workbook=10_02.xlsx&amp;sheet=A0&amp;row=346&amp;col=12&amp;number=&amp;sourceID=47","")</f>
        <v/>
      </c>
    </row>
    <row r="347" spans="1:12">
      <c r="A347" s="3">
        <v>10</v>
      </c>
      <c r="B347" s="3">
        <v>2</v>
      </c>
      <c r="C347" s="3">
        <v>30</v>
      </c>
      <c r="D347" s="3">
        <v>4</v>
      </c>
      <c r="E347" s="3">
        <f>((1/(INDEX(E0!J$4:J$52,C347,1)-INDEX(E0!J$4:J$52,D347,1))))*100000000</f>
        <v>0</v>
      </c>
      <c r="F347" s="4" t="str">
        <f>HYPERLINK("http://141.218.60.56/~jnz1568/getInfo.php?workbook=10_02.xlsx&amp;sheet=A0&amp;row=347&amp;col=6&amp;number=&amp;sourceID=27","")</f>
        <v/>
      </c>
      <c r="G347" s="4" t="str">
        <f>HYPERLINK("http://141.218.60.56/~jnz1568/getInfo.php?workbook=10_02.xlsx&amp;sheet=A0&amp;row=347&amp;col=7&amp;number=&amp;sourceID=32","")</f>
        <v/>
      </c>
      <c r="H347" s="4" t="str">
        <f>HYPERLINK("http://141.218.60.56/~jnz1568/getInfo.php?workbook=10_02.xlsx&amp;sheet=A0&amp;row=347&amp;col=8&amp;number=8387000&amp;sourceID=32","8387000")</f>
        <v>8387000</v>
      </c>
      <c r="I347" s="4" t="str">
        <f>HYPERLINK("http://141.218.60.56/~jnz1568/getInfo.php?workbook=10_02.xlsx&amp;sheet=A0&amp;row=347&amp;col=9&amp;number=&amp;sourceID=32","")</f>
        <v/>
      </c>
      <c r="J347" s="4" t="str">
        <f>HYPERLINK("http://141.218.60.56/~jnz1568/getInfo.php?workbook=10_02.xlsx&amp;sheet=A0&amp;row=347&amp;col=10&amp;number=&amp;sourceID=32","")</f>
        <v/>
      </c>
      <c r="K347" s="4" t="str">
        <f>HYPERLINK("http://141.218.60.56/~jnz1568/getInfo.php?workbook=10_02.xlsx&amp;sheet=A0&amp;row=347&amp;col=11&amp;number=8208200&amp;sourceID=46","8208200")</f>
        <v>8208200</v>
      </c>
      <c r="L347" s="4" t="str">
        <f>HYPERLINK("http://141.218.60.56/~jnz1568/getInfo.php?workbook=10_02.xlsx&amp;sheet=A0&amp;row=347&amp;col=12&amp;number=&amp;sourceID=47","")</f>
        <v/>
      </c>
    </row>
    <row r="348" spans="1:12">
      <c r="A348" s="3">
        <v>10</v>
      </c>
      <c r="B348" s="3">
        <v>2</v>
      </c>
      <c r="C348" s="3">
        <v>30</v>
      </c>
      <c r="D348" s="3">
        <v>5</v>
      </c>
      <c r="E348" s="3">
        <f>((1/(INDEX(E0!J$4:J$52,C348,1)-INDEX(E0!J$4:J$52,D348,1))))*100000000</f>
        <v>0</v>
      </c>
      <c r="F348" s="4" t="str">
        <f>HYPERLINK("http://141.218.60.56/~jnz1568/getInfo.php?workbook=10_02.xlsx&amp;sheet=A0&amp;row=348&amp;col=6&amp;number=&amp;sourceID=27","")</f>
        <v/>
      </c>
      <c r="G348" s="4" t="str">
        <f>HYPERLINK("http://141.218.60.56/~jnz1568/getInfo.php?workbook=10_02.xlsx&amp;sheet=A0&amp;row=348&amp;col=7&amp;number=&amp;sourceID=32","")</f>
        <v/>
      </c>
      <c r="H348" s="4" t="str">
        <f>HYPERLINK("http://141.218.60.56/~jnz1568/getInfo.php?workbook=10_02.xlsx&amp;sheet=A0&amp;row=348&amp;col=8&amp;number=4505000&amp;sourceID=32","4505000")</f>
        <v>4505000</v>
      </c>
      <c r="I348" s="4" t="str">
        <f>HYPERLINK("http://141.218.60.56/~jnz1568/getInfo.php?workbook=10_02.xlsx&amp;sheet=A0&amp;row=348&amp;col=9&amp;number=0.0008344&amp;sourceID=32","0.0008344")</f>
        <v>0.0008344</v>
      </c>
      <c r="J348" s="4" t="str">
        <f>HYPERLINK("http://141.218.60.56/~jnz1568/getInfo.php?workbook=10_02.xlsx&amp;sheet=A0&amp;row=348&amp;col=10&amp;number=&amp;sourceID=32","")</f>
        <v/>
      </c>
      <c r="K348" s="4" t="str">
        <f>HYPERLINK("http://141.218.60.56/~jnz1568/getInfo.php?workbook=10_02.xlsx&amp;sheet=A0&amp;row=348&amp;col=11&amp;number=4370800&amp;sourceID=46","4370800")</f>
        <v>4370800</v>
      </c>
      <c r="L348" s="4" t="str">
        <f>HYPERLINK("http://141.218.60.56/~jnz1568/getInfo.php?workbook=10_02.xlsx&amp;sheet=A0&amp;row=348&amp;col=12&amp;number=&amp;sourceID=47","")</f>
        <v/>
      </c>
    </row>
    <row r="349" spans="1:12">
      <c r="A349" s="3">
        <v>10</v>
      </c>
      <c r="B349" s="3">
        <v>2</v>
      </c>
      <c r="C349" s="3">
        <v>30</v>
      </c>
      <c r="D349" s="3">
        <v>6</v>
      </c>
      <c r="E349" s="3">
        <f>((1/(INDEX(E0!J$4:J$52,C349,1)-INDEX(E0!J$4:J$52,D349,1))))*100000000</f>
        <v>0</v>
      </c>
      <c r="F349" s="4" t="str">
        <f>HYPERLINK("http://141.218.60.56/~jnz1568/getInfo.php?workbook=10_02.xlsx&amp;sheet=A0&amp;row=349&amp;col=6&amp;number=&amp;sourceID=27","")</f>
        <v/>
      </c>
      <c r="G349" s="4" t="str">
        <f>HYPERLINK("http://141.218.60.56/~jnz1568/getInfo.php?workbook=10_02.xlsx&amp;sheet=A0&amp;row=349&amp;col=7&amp;number=&amp;sourceID=32","")</f>
        <v/>
      </c>
      <c r="H349" s="4" t="str">
        <f>HYPERLINK("http://141.218.60.56/~jnz1568/getInfo.php?workbook=10_02.xlsx&amp;sheet=A0&amp;row=349&amp;col=8&amp;number=&amp;sourceID=32","")</f>
        <v/>
      </c>
      <c r="I349" s="4" t="str">
        <f>HYPERLINK("http://141.218.60.56/~jnz1568/getInfo.php?workbook=10_02.xlsx&amp;sheet=A0&amp;row=349&amp;col=9&amp;number=&amp;sourceID=32","")</f>
        <v/>
      </c>
      <c r="J349" s="4" t="str">
        <f>HYPERLINK("http://141.218.60.56/~jnz1568/getInfo.php?workbook=10_02.xlsx&amp;sheet=A0&amp;row=349&amp;col=10&amp;number=&amp;sourceID=32","")</f>
        <v/>
      </c>
      <c r="K349" s="4" t="str">
        <f>HYPERLINK("http://141.218.60.56/~jnz1568/getInfo.php?workbook=10_02.xlsx&amp;sheet=A0&amp;row=349&amp;col=11&amp;number=3272.4&amp;sourceID=46","3272.4")</f>
        <v>3272.4</v>
      </c>
      <c r="L349" s="4" t="str">
        <f>HYPERLINK("http://141.218.60.56/~jnz1568/getInfo.php?workbook=10_02.xlsx&amp;sheet=A0&amp;row=349&amp;col=12&amp;number=&amp;sourceID=47","")</f>
        <v/>
      </c>
    </row>
    <row r="350" spans="1:12">
      <c r="A350" s="3">
        <v>10</v>
      </c>
      <c r="B350" s="3">
        <v>2</v>
      </c>
      <c r="C350" s="3">
        <v>30</v>
      </c>
      <c r="D350" s="3">
        <v>7</v>
      </c>
      <c r="E350" s="3">
        <f>((1/(INDEX(E0!J$4:J$52,C350,1)-INDEX(E0!J$4:J$52,D350,1))))*100000000</f>
        <v>0</v>
      </c>
      <c r="F350" s="4" t="str">
        <f>HYPERLINK("http://141.218.60.56/~jnz1568/getInfo.php?workbook=10_02.xlsx&amp;sheet=A0&amp;row=350&amp;col=6&amp;number=&amp;sourceID=27","")</f>
        <v/>
      </c>
      <c r="G350" s="4" t="str">
        <f>HYPERLINK("http://141.218.60.56/~jnz1568/getInfo.php?workbook=10_02.xlsx&amp;sheet=A0&amp;row=350&amp;col=7&amp;number=&amp;sourceID=32","")</f>
        <v/>
      </c>
      <c r="H350" s="4" t="str">
        <f>HYPERLINK("http://141.218.60.56/~jnz1568/getInfo.php?workbook=10_02.xlsx&amp;sheet=A0&amp;row=350&amp;col=8&amp;number=19930000&amp;sourceID=32","19930000")</f>
        <v>19930000</v>
      </c>
      <c r="I350" s="4" t="str">
        <f>HYPERLINK("http://141.218.60.56/~jnz1568/getInfo.php?workbook=10_02.xlsx&amp;sheet=A0&amp;row=350&amp;col=9&amp;number=&amp;sourceID=32","")</f>
        <v/>
      </c>
      <c r="J350" s="4" t="str">
        <f>HYPERLINK("http://141.218.60.56/~jnz1568/getInfo.php?workbook=10_02.xlsx&amp;sheet=A0&amp;row=350&amp;col=10&amp;number=&amp;sourceID=32","")</f>
        <v/>
      </c>
      <c r="K350" s="4" t="str">
        <f>HYPERLINK("http://141.218.60.56/~jnz1568/getInfo.php?workbook=10_02.xlsx&amp;sheet=A0&amp;row=350&amp;col=11&amp;number=20118000&amp;sourceID=46","20118000")</f>
        <v>20118000</v>
      </c>
      <c r="L350" s="4" t="str">
        <f>HYPERLINK("http://141.218.60.56/~jnz1568/getInfo.php?workbook=10_02.xlsx&amp;sheet=A0&amp;row=350&amp;col=12&amp;number=&amp;sourceID=47","")</f>
        <v/>
      </c>
    </row>
    <row r="351" spans="1:12">
      <c r="A351" s="3">
        <v>10</v>
      </c>
      <c r="B351" s="3">
        <v>2</v>
      </c>
      <c r="C351" s="3">
        <v>30</v>
      </c>
      <c r="D351" s="3">
        <v>8</v>
      </c>
      <c r="E351" s="3">
        <f>((1/(INDEX(E0!J$4:J$52,C351,1)-INDEX(E0!J$4:J$52,D351,1))))*100000000</f>
        <v>0</v>
      </c>
      <c r="F351" s="4" t="str">
        <f>HYPERLINK("http://141.218.60.56/~jnz1568/getInfo.php?workbook=10_02.xlsx&amp;sheet=A0&amp;row=351&amp;col=6&amp;number=&amp;sourceID=27","")</f>
        <v/>
      </c>
      <c r="G351" s="4" t="str">
        <f>HYPERLINK("http://141.218.60.56/~jnz1568/getInfo.php?workbook=10_02.xlsx&amp;sheet=A0&amp;row=351&amp;col=7&amp;number=&amp;sourceID=32","")</f>
        <v/>
      </c>
      <c r="H351" s="4" t="str">
        <f>HYPERLINK("http://141.218.60.56/~jnz1568/getInfo.php?workbook=10_02.xlsx&amp;sheet=A0&amp;row=351&amp;col=8&amp;number=&amp;sourceID=32","")</f>
        <v/>
      </c>
      <c r="I351" s="4" t="str">
        <f>HYPERLINK("http://141.218.60.56/~jnz1568/getInfo.php?workbook=10_02.xlsx&amp;sheet=A0&amp;row=351&amp;col=9&amp;number=&amp;sourceID=32","")</f>
        <v/>
      </c>
      <c r="J351" s="4" t="str">
        <f>HYPERLINK("http://141.218.60.56/~jnz1568/getInfo.php?workbook=10_02.xlsx&amp;sheet=A0&amp;row=351&amp;col=10&amp;number=2.848e-06&amp;sourceID=32","2.848e-06")</f>
        <v>2.848e-06</v>
      </c>
      <c r="K351" s="4" t="str">
        <f>HYPERLINK("http://141.218.60.56/~jnz1568/getInfo.php?workbook=10_02.xlsx&amp;sheet=A0&amp;row=351&amp;col=11&amp;number=27.949&amp;sourceID=46","27.949")</f>
        <v>27.949</v>
      </c>
      <c r="L351" s="4" t="str">
        <f>HYPERLINK("http://141.218.60.56/~jnz1568/getInfo.php?workbook=10_02.xlsx&amp;sheet=A0&amp;row=351&amp;col=12&amp;number=&amp;sourceID=47","")</f>
        <v/>
      </c>
    </row>
    <row r="352" spans="1:12">
      <c r="A352" s="3">
        <v>10</v>
      </c>
      <c r="B352" s="3">
        <v>2</v>
      </c>
      <c r="C352" s="3">
        <v>30</v>
      </c>
      <c r="D352" s="3">
        <v>10</v>
      </c>
      <c r="E352" s="3">
        <f>((1/(INDEX(E0!J$4:J$52,C352,1)-INDEX(E0!J$4:J$52,D352,1))))*100000000</f>
        <v>0</v>
      </c>
      <c r="F352" s="4" t="str">
        <f>HYPERLINK("http://141.218.60.56/~jnz1568/getInfo.php?workbook=10_02.xlsx&amp;sheet=A0&amp;row=352&amp;col=6&amp;number=&amp;sourceID=27","")</f>
        <v/>
      </c>
      <c r="G352" s="4" t="str">
        <f>HYPERLINK("http://141.218.60.56/~jnz1568/getInfo.php?workbook=10_02.xlsx&amp;sheet=A0&amp;row=352&amp;col=7&amp;number=&amp;sourceID=32","")</f>
        <v/>
      </c>
      <c r="H352" s="4" t="str">
        <f>HYPERLINK("http://141.218.60.56/~jnz1568/getInfo.php?workbook=10_02.xlsx&amp;sheet=A0&amp;row=352&amp;col=8&amp;number=858000&amp;sourceID=32","858000")</f>
        <v>858000</v>
      </c>
      <c r="I352" s="4" t="str">
        <f>HYPERLINK("http://141.218.60.56/~jnz1568/getInfo.php?workbook=10_02.xlsx&amp;sheet=A0&amp;row=352&amp;col=9&amp;number=&amp;sourceID=32","")</f>
        <v/>
      </c>
      <c r="J352" s="4" t="str">
        <f>HYPERLINK("http://141.218.60.56/~jnz1568/getInfo.php?workbook=10_02.xlsx&amp;sheet=A0&amp;row=352&amp;col=10&amp;number=&amp;sourceID=32","")</f>
        <v/>
      </c>
      <c r="K352" s="4" t="str">
        <f>HYPERLINK("http://141.218.60.56/~jnz1568/getInfo.php?workbook=10_02.xlsx&amp;sheet=A0&amp;row=352&amp;col=11&amp;number=840190&amp;sourceID=46","840190")</f>
        <v>840190</v>
      </c>
      <c r="L352" s="4" t="str">
        <f>HYPERLINK("http://141.218.60.56/~jnz1568/getInfo.php?workbook=10_02.xlsx&amp;sheet=A0&amp;row=352&amp;col=12&amp;number=&amp;sourceID=47","")</f>
        <v/>
      </c>
    </row>
    <row r="353" spans="1:12">
      <c r="A353" s="3">
        <v>10</v>
      </c>
      <c r="B353" s="3">
        <v>2</v>
      </c>
      <c r="C353" s="3">
        <v>30</v>
      </c>
      <c r="D353" s="3">
        <v>11</v>
      </c>
      <c r="E353" s="3">
        <f>((1/(INDEX(E0!J$4:J$52,C353,1)-INDEX(E0!J$4:J$52,D353,1))))*100000000</f>
        <v>0</v>
      </c>
      <c r="F353" s="4" t="str">
        <f>HYPERLINK("http://141.218.60.56/~jnz1568/getInfo.php?workbook=10_02.xlsx&amp;sheet=A0&amp;row=353&amp;col=6&amp;number=&amp;sourceID=27","")</f>
        <v/>
      </c>
      <c r="G353" s="4" t="str">
        <f>HYPERLINK("http://141.218.60.56/~jnz1568/getInfo.php?workbook=10_02.xlsx&amp;sheet=A0&amp;row=353&amp;col=7&amp;number=&amp;sourceID=32","")</f>
        <v/>
      </c>
      <c r="H353" s="4" t="str">
        <f>HYPERLINK("http://141.218.60.56/~jnz1568/getInfo.php?workbook=10_02.xlsx&amp;sheet=A0&amp;row=353&amp;col=8&amp;number=&amp;sourceID=32","")</f>
        <v/>
      </c>
      <c r="I353" s="4" t="str">
        <f>HYPERLINK("http://141.218.60.56/~jnz1568/getInfo.php?workbook=10_02.xlsx&amp;sheet=A0&amp;row=353&amp;col=9&amp;number=&amp;sourceID=32","")</f>
        <v/>
      </c>
      <c r="J353" s="4" t="str">
        <f>HYPERLINK("http://141.218.60.56/~jnz1568/getInfo.php?workbook=10_02.xlsx&amp;sheet=A0&amp;row=353&amp;col=10&amp;number=&amp;sourceID=32","")</f>
        <v/>
      </c>
      <c r="K353" s="4" t="str">
        <f>HYPERLINK("http://141.218.60.56/~jnz1568/getInfo.php?workbook=10_02.xlsx&amp;sheet=A0&amp;row=353&amp;col=11&amp;number=33.142&amp;sourceID=46","33.142")</f>
        <v>33.142</v>
      </c>
      <c r="L353" s="4" t="str">
        <f>HYPERLINK("http://141.218.60.56/~jnz1568/getInfo.php?workbook=10_02.xlsx&amp;sheet=A0&amp;row=353&amp;col=12&amp;number=&amp;sourceID=47","")</f>
        <v/>
      </c>
    </row>
    <row r="354" spans="1:12">
      <c r="A354" s="3">
        <v>10</v>
      </c>
      <c r="B354" s="3">
        <v>2</v>
      </c>
      <c r="C354" s="3">
        <v>30</v>
      </c>
      <c r="D354" s="3">
        <v>12</v>
      </c>
      <c r="E354" s="3">
        <f>((1/(INDEX(E0!J$4:J$52,C354,1)-INDEX(E0!J$4:J$52,D354,1))))*100000000</f>
        <v>0</v>
      </c>
      <c r="F354" s="4" t="str">
        <f>HYPERLINK("http://141.218.60.56/~jnz1568/getInfo.php?workbook=10_02.xlsx&amp;sheet=A0&amp;row=354&amp;col=6&amp;number=&amp;sourceID=27","")</f>
        <v/>
      </c>
      <c r="G354" s="4" t="str">
        <f>HYPERLINK("http://141.218.60.56/~jnz1568/getInfo.php?workbook=10_02.xlsx&amp;sheet=A0&amp;row=354&amp;col=7&amp;number=&amp;sourceID=32","")</f>
        <v/>
      </c>
      <c r="H354" s="4" t="str">
        <f>HYPERLINK("http://141.218.60.56/~jnz1568/getInfo.php?workbook=10_02.xlsx&amp;sheet=A0&amp;row=354&amp;col=8&amp;number=461600&amp;sourceID=32","461600")</f>
        <v>461600</v>
      </c>
      <c r="I354" s="4" t="str">
        <f>HYPERLINK("http://141.218.60.56/~jnz1568/getInfo.php?workbook=10_02.xlsx&amp;sheet=A0&amp;row=354&amp;col=9&amp;number=2.92e-05&amp;sourceID=32","2.92e-05")</f>
        <v>2.92e-05</v>
      </c>
      <c r="J354" s="4" t="str">
        <f>HYPERLINK("http://141.218.60.56/~jnz1568/getInfo.php?workbook=10_02.xlsx&amp;sheet=A0&amp;row=354&amp;col=10&amp;number=&amp;sourceID=32","")</f>
        <v/>
      </c>
      <c r="K354" s="4" t="str">
        <f>HYPERLINK("http://141.218.60.56/~jnz1568/getInfo.php?workbook=10_02.xlsx&amp;sheet=A0&amp;row=354&amp;col=11&amp;number=447260&amp;sourceID=46","447260")</f>
        <v>447260</v>
      </c>
      <c r="L354" s="4" t="str">
        <f>HYPERLINK("http://141.218.60.56/~jnz1568/getInfo.php?workbook=10_02.xlsx&amp;sheet=A0&amp;row=354&amp;col=12&amp;number=&amp;sourceID=47","")</f>
        <v/>
      </c>
    </row>
    <row r="355" spans="1:12">
      <c r="A355" s="3">
        <v>10</v>
      </c>
      <c r="B355" s="3">
        <v>2</v>
      </c>
      <c r="C355" s="3">
        <v>30</v>
      </c>
      <c r="D355" s="3">
        <v>13</v>
      </c>
      <c r="E355" s="3">
        <f>((1/(INDEX(E0!J$4:J$52,C355,1)-INDEX(E0!J$4:J$52,D355,1))))*100000000</f>
        <v>0</v>
      </c>
      <c r="F355" s="4" t="str">
        <f>HYPERLINK("http://141.218.60.56/~jnz1568/getInfo.php?workbook=10_02.xlsx&amp;sheet=A0&amp;row=355&amp;col=6&amp;number=&amp;sourceID=27","")</f>
        <v/>
      </c>
      <c r="G355" s="4" t="str">
        <f>HYPERLINK("http://141.218.60.56/~jnz1568/getInfo.php?workbook=10_02.xlsx&amp;sheet=A0&amp;row=355&amp;col=7&amp;number=&amp;sourceID=32","")</f>
        <v/>
      </c>
      <c r="H355" s="4" t="str">
        <f>HYPERLINK("http://141.218.60.56/~jnz1568/getInfo.php?workbook=10_02.xlsx&amp;sheet=A0&amp;row=355&amp;col=8&amp;number=&amp;sourceID=32","")</f>
        <v/>
      </c>
      <c r="I355" s="4" t="str">
        <f>HYPERLINK("http://141.218.60.56/~jnz1568/getInfo.php?workbook=10_02.xlsx&amp;sheet=A0&amp;row=355&amp;col=9&amp;number=&amp;sourceID=32","")</f>
        <v/>
      </c>
      <c r="J355" s="4" t="str">
        <f>HYPERLINK("http://141.218.60.56/~jnz1568/getInfo.php?workbook=10_02.xlsx&amp;sheet=A0&amp;row=355&amp;col=10&amp;number=46.31&amp;sourceID=32","46.31")</f>
        <v>46.31</v>
      </c>
      <c r="K355" s="4" t="str">
        <f>HYPERLINK("http://141.218.60.56/~jnz1568/getInfo.php?workbook=10_02.xlsx&amp;sheet=A0&amp;row=355&amp;col=11&amp;number=50.215&amp;sourceID=46","50.215")</f>
        <v>50.215</v>
      </c>
      <c r="L355" s="4" t="str">
        <f>HYPERLINK("http://141.218.60.56/~jnz1568/getInfo.php?workbook=10_02.xlsx&amp;sheet=A0&amp;row=355&amp;col=12&amp;number=&amp;sourceID=47","")</f>
        <v/>
      </c>
    </row>
    <row r="356" spans="1:12">
      <c r="A356" s="3">
        <v>10</v>
      </c>
      <c r="B356" s="3">
        <v>2</v>
      </c>
      <c r="C356" s="3">
        <v>30</v>
      </c>
      <c r="D356" s="3">
        <v>14</v>
      </c>
      <c r="E356" s="3">
        <f>((1/(INDEX(E0!J$4:J$52,C356,1)-INDEX(E0!J$4:J$52,D356,1))))*100000000</f>
        <v>0</v>
      </c>
      <c r="F356" s="4" t="str">
        <f>HYPERLINK("http://141.218.60.56/~jnz1568/getInfo.php?workbook=10_02.xlsx&amp;sheet=A0&amp;row=356&amp;col=6&amp;number=&amp;sourceID=27","")</f>
        <v/>
      </c>
      <c r="G356" s="4" t="str">
        <f>HYPERLINK("http://141.218.60.56/~jnz1568/getInfo.php?workbook=10_02.xlsx&amp;sheet=A0&amp;row=356&amp;col=7&amp;number=16960000000&amp;sourceID=32","16960000000")</f>
        <v>16960000000</v>
      </c>
      <c r="H356" s="4" t="str">
        <f>HYPERLINK("http://141.218.60.56/~jnz1568/getInfo.php?workbook=10_02.xlsx&amp;sheet=A0&amp;row=356&amp;col=8&amp;number=&amp;sourceID=32","")</f>
        <v/>
      </c>
      <c r="I356" s="4" t="str">
        <f>HYPERLINK("http://141.218.60.56/~jnz1568/getInfo.php?workbook=10_02.xlsx&amp;sheet=A0&amp;row=356&amp;col=9&amp;number=&amp;sourceID=32","")</f>
        <v/>
      </c>
      <c r="J356" s="4" t="str">
        <f>HYPERLINK("http://141.218.60.56/~jnz1568/getInfo.php?workbook=10_02.xlsx&amp;sheet=A0&amp;row=356&amp;col=10&amp;number=110.2&amp;sourceID=32","110.2")</f>
        <v>110.2</v>
      </c>
      <c r="K356" s="4" t="str">
        <f>HYPERLINK("http://141.218.60.56/~jnz1568/getInfo.php?workbook=10_02.xlsx&amp;sheet=A0&amp;row=356&amp;col=11&amp;number=18973000000&amp;sourceID=46","18973000000")</f>
        <v>18973000000</v>
      </c>
      <c r="L356" s="4" t="str">
        <f>HYPERLINK("http://141.218.60.56/~jnz1568/getInfo.php?workbook=10_02.xlsx&amp;sheet=A0&amp;row=356&amp;col=12&amp;number=&amp;sourceID=47","")</f>
        <v/>
      </c>
    </row>
    <row r="357" spans="1:12">
      <c r="A357" s="3">
        <v>10</v>
      </c>
      <c r="B357" s="3">
        <v>2</v>
      </c>
      <c r="C357" s="3">
        <v>30</v>
      </c>
      <c r="D357" s="3">
        <v>15</v>
      </c>
      <c r="E357" s="3">
        <f>((1/(INDEX(E0!J$4:J$52,C357,1)-INDEX(E0!J$4:J$52,D357,1))))*100000000</f>
        <v>0</v>
      </c>
      <c r="F357" s="4" t="str">
        <f>HYPERLINK("http://141.218.60.56/~jnz1568/getInfo.php?workbook=10_02.xlsx&amp;sheet=A0&amp;row=357&amp;col=6&amp;number=&amp;sourceID=27","")</f>
        <v/>
      </c>
      <c r="G357" s="4" t="str">
        <f>HYPERLINK("http://141.218.60.56/~jnz1568/getInfo.php?workbook=10_02.xlsx&amp;sheet=A0&amp;row=357&amp;col=7&amp;number=4134000000&amp;sourceID=32","4134000000")</f>
        <v>4134000000</v>
      </c>
      <c r="H357" s="4" t="str">
        <f>HYPERLINK("http://141.218.60.56/~jnz1568/getInfo.php?workbook=10_02.xlsx&amp;sheet=A0&amp;row=357&amp;col=8&amp;number=&amp;sourceID=32","")</f>
        <v/>
      </c>
      <c r="I357" s="4" t="str">
        <f>HYPERLINK("http://141.218.60.56/~jnz1568/getInfo.php?workbook=10_02.xlsx&amp;sheet=A0&amp;row=357&amp;col=9&amp;number=&amp;sourceID=32","")</f>
        <v/>
      </c>
      <c r="J357" s="4" t="str">
        <f>HYPERLINK("http://141.218.60.56/~jnz1568/getInfo.php?workbook=10_02.xlsx&amp;sheet=A0&amp;row=357&amp;col=10&amp;number=52.44&amp;sourceID=32","52.44")</f>
        <v>52.44</v>
      </c>
      <c r="K357" s="4" t="str">
        <f>HYPERLINK("http://141.218.60.56/~jnz1568/getInfo.php?workbook=10_02.xlsx&amp;sheet=A0&amp;row=357&amp;col=11&amp;number=3995200000&amp;sourceID=46","3995200000")</f>
        <v>3995200000</v>
      </c>
      <c r="L357" s="4" t="str">
        <f>HYPERLINK("http://141.218.60.56/~jnz1568/getInfo.php?workbook=10_02.xlsx&amp;sheet=A0&amp;row=357&amp;col=12&amp;number=&amp;sourceID=47","")</f>
        <v/>
      </c>
    </row>
    <row r="358" spans="1:12">
      <c r="A358" s="3">
        <v>10</v>
      </c>
      <c r="B358" s="3">
        <v>2</v>
      </c>
      <c r="C358" s="3">
        <v>30</v>
      </c>
      <c r="D358" s="3">
        <v>16</v>
      </c>
      <c r="E358" s="3">
        <f>((1/(INDEX(E0!J$4:J$52,C358,1)-INDEX(E0!J$4:J$52,D358,1))))*100000000</f>
        <v>0</v>
      </c>
      <c r="F358" s="4" t="str">
        <f>HYPERLINK("http://141.218.60.56/~jnz1568/getInfo.php?workbook=10_02.xlsx&amp;sheet=A0&amp;row=358&amp;col=6&amp;number=&amp;sourceID=27","")</f>
        <v/>
      </c>
      <c r="G358" s="4" t="str">
        <f>HYPERLINK("http://141.218.60.56/~jnz1568/getInfo.php?workbook=10_02.xlsx&amp;sheet=A0&amp;row=358&amp;col=7&amp;number=69420000000&amp;sourceID=32","69420000000")</f>
        <v>69420000000</v>
      </c>
      <c r="H358" s="4" t="str">
        <f>HYPERLINK("http://141.218.60.56/~jnz1568/getInfo.php?workbook=10_02.xlsx&amp;sheet=A0&amp;row=358&amp;col=8&amp;number=&amp;sourceID=32","")</f>
        <v/>
      </c>
      <c r="I358" s="4" t="str">
        <f>HYPERLINK("http://141.218.60.56/~jnz1568/getInfo.php?workbook=10_02.xlsx&amp;sheet=A0&amp;row=358&amp;col=9&amp;number=&amp;sourceID=32","")</f>
        <v/>
      </c>
      <c r="J358" s="4" t="str">
        <f>HYPERLINK("http://141.218.60.56/~jnz1568/getInfo.php?workbook=10_02.xlsx&amp;sheet=A0&amp;row=358&amp;col=10&amp;number=210.7&amp;sourceID=32","210.7")</f>
        <v>210.7</v>
      </c>
      <c r="K358" s="4" t="str">
        <f>HYPERLINK("http://141.218.60.56/~jnz1568/getInfo.php?workbook=10_02.xlsx&amp;sheet=A0&amp;row=358&amp;col=11&amp;number=67544000000&amp;sourceID=46","67544000000")</f>
        <v>67544000000</v>
      </c>
      <c r="L358" s="4" t="str">
        <f>HYPERLINK("http://141.218.60.56/~jnz1568/getInfo.php?workbook=10_02.xlsx&amp;sheet=A0&amp;row=358&amp;col=12&amp;number=&amp;sourceID=47","")</f>
        <v/>
      </c>
    </row>
    <row r="359" spans="1:12">
      <c r="A359" s="3">
        <v>10</v>
      </c>
      <c r="B359" s="3">
        <v>2</v>
      </c>
      <c r="C359" s="3">
        <v>30</v>
      </c>
      <c r="D359" s="3">
        <v>17</v>
      </c>
      <c r="E359" s="3">
        <f>((1/(INDEX(E0!J$4:J$52,C359,1)-INDEX(E0!J$4:J$52,D359,1))))*100000000</f>
        <v>0</v>
      </c>
      <c r="F359" s="4" t="str">
        <f>HYPERLINK("http://141.218.60.56/~jnz1568/getInfo.php?workbook=10_02.xlsx&amp;sheet=A0&amp;row=359&amp;col=6&amp;number=&amp;sourceID=27","")</f>
        <v/>
      </c>
      <c r="G359" s="4" t="str">
        <f>HYPERLINK("http://141.218.60.56/~jnz1568/getInfo.php?workbook=10_02.xlsx&amp;sheet=A0&amp;row=359&amp;col=7&amp;number=&amp;sourceID=32","")</f>
        <v/>
      </c>
      <c r="H359" s="4" t="str">
        <f>HYPERLINK("http://141.218.60.56/~jnz1568/getInfo.php?workbook=10_02.xlsx&amp;sheet=A0&amp;row=359&amp;col=8&amp;number=1827000&amp;sourceID=32","1827000")</f>
        <v>1827000</v>
      </c>
      <c r="I359" s="4" t="str">
        <f>HYPERLINK("http://141.218.60.56/~jnz1568/getInfo.php?workbook=10_02.xlsx&amp;sheet=A0&amp;row=359&amp;col=9&amp;number=&amp;sourceID=32","")</f>
        <v/>
      </c>
      <c r="J359" s="4" t="str">
        <f>HYPERLINK("http://141.218.60.56/~jnz1568/getInfo.php?workbook=10_02.xlsx&amp;sheet=A0&amp;row=359&amp;col=10&amp;number=&amp;sourceID=32","")</f>
        <v/>
      </c>
      <c r="K359" s="4" t="str">
        <f>HYPERLINK("http://141.218.60.56/~jnz1568/getInfo.php?workbook=10_02.xlsx&amp;sheet=A0&amp;row=359&amp;col=11&amp;number=1845800&amp;sourceID=46","1845800")</f>
        <v>1845800</v>
      </c>
      <c r="L359" s="4" t="str">
        <f>HYPERLINK("http://141.218.60.56/~jnz1568/getInfo.php?workbook=10_02.xlsx&amp;sheet=A0&amp;row=359&amp;col=12&amp;number=&amp;sourceID=47","")</f>
        <v/>
      </c>
    </row>
    <row r="360" spans="1:12">
      <c r="A360" s="3">
        <v>10</v>
      </c>
      <c r="B360" s="3">
        <v>2</v>
      </c>
      <c r="C360" s="3">
        <v>30</v>
      </c>
      <c r="D360" s="3">
        <v>18</v>
      </c>
      <c r="E360" s="3">
        <f>((1/(INDEX(E0!J$4:J$52,C360,1)-INDEX(E0!J$4:J$52,D360,1))))*100000000</f>
        <v>0</v>
      </c>
      <c r="F360" s="4" t="str">
        <f>HYPERLINK("http://141.218.60.56/~jnz1568/getInfo.php?workbook=10_02.xlsx&amp;sheet=A0&amp;row=360&amp;col=6&amp;number=&amp;sourceID=27","")</f>
        <v/>
      </c>
      <c r="G360" s="4" t="str">
        <f>HYPERLINK("http://141.218.60.56/~jnz1568/getInfo.php?workbook=10_02.xlsx&amp;sheet=A0&amp;row=360&amp;col=7&amp;number=&amp;sourceID=32","")</f>
        <v/>
      </c>
      <c r="H360" s="4" t="str">
        <f>HYPERLINK("http://141.218.60.56/~jnz1568/getInfo.php?workbook=10_02.xlsx&amp;sheet=A0&amp;row=360&amp;col=8&amp;number=&amp;sourceID=32","")</f>
        <v/>
      </c>
      <c r="I360" s="4" t="str">
        <f>HYPERLINK("http://141.218.60.56/~jnz1568/getInfo.php?workbook=10_02.xlsx&amp;sheet=A0&amp;row=360&amp;col=9&amp;number=&amp;sourceID=32","")</f>
        <v/>
      </c>
      <c r="J360" s="4" t="str">
        <f>HYPERLINK("http://141.218.60.56/~jnz1568/getInfo.php?workbook=10_02.xlsx&amp;sheet=A0&amp;row=360&amp;col=10&amp;number=3.3e-13&amp;sourceID=32","3.3e-13")</f>
        <v>3.3e-13</v>
      </c>
      <c r="K360" s="4" t="str">
        <f>HYPERLINK("http://141.218.60.56/~jnz1568/getInfo.php?workbook=10_02.xlsx&amp;sheet=A0&amp;row=360&amp;col=11&amp;number=&amp;sourceID=46","")</f>
        <v/>
      </c>
      <c r="L360" s="4" t="str">
        <f>HYPERLINK("http://141.218.60.56/~jnz1568/getInfo.php?workbook=10_02.xlsx&amp;sheet=A0&amp;row=360&amp;col=12&amp;number=&amp;sourceID=47","")</f>
        <v/>
      </c>
    </row>
    <row r="361" spans="1:12">
      <c r="A361" s="3">
        <v>10</v>
      </c>
      <c r="B361" s="3">
        <v>2</v>
      </c>
      <c r="C361" s="3">
        <v>30</v>
      </c>
      <c r="D361" s="3">
        <v>20</v>
      </c>
      <c r="E361" s="3">
        <f>((1/(INDEX(E0!J$4:J$52,C361,1)-INDEX(E0!J$4:J$52,D361,1))))*100000000</f>
        <v>0</v>
      </c>
      <c r="F361" s="4" t="str">
        <f>HYPERLINK("http://141.218.60.56/~jnz1568/getInfo.php?workbook=10_02.xlsx&amp;sheet=A0&amp;row=361&amp;col=6&amp;number=&amp;sourceID=27","")</f>
        <v/>
      </c>
      <c r="G361" s="4" t="str">
        <f>HYPERLINK("http://141.218.60.56/~jnz1568/getInfo.php?workbook=10_02.xlsx&amp;sheet=A0&amp;row=361&amp;col=7&amp;number=&amp;sourceID=32","")</f>
        <v/>
      </c>
      <c r="H361" s="4" t="str">
        <f>HYPERLINK("http://141.218.60.56/~jnz1568/getInfo.php?workbook=10_02.xlsx&amp;sheet=A0&amp;row=361&amp;col=8&amp;number=0.0006555&amp;sourceID=32","0.0006555")</f>
        <v>0.0006555</v>
      </c>
      <c r="I361" s="4" t="str">
        <f>HYPERLINK("http://141.218.60.56/~jnz1568/getInfo.php?workbook=10_02.xlsx&amp;sheet=A0&amp;row=361&amp;col=9&amp;number=&amp;sourceID=32","")</f>
        <v/>
      </c>
      <c r="J361" s="4" t="str">
        <f>HYPERLINK("http://141.218.60.56/~jnz1568/getInfo.php?workbook=10_02.xlsx&amp;sheet=A0&amp;row=361&amp;col=10&amp;number=&amp;sourceID=32","")</f>
        <v/>
      </c>
      <c r="K361" s="4" t="str">
        <f>HYPERLINK("http://141.218.60.56/~jnz1568/getInfo.php?workbook=10_02.xlsx&amp;sheet=A0&amp;row=361&amp;col=11&amp;number=&amp;sourceID=46","")</f>
        <v/>
      </c>
      <c r="L361" s="4" t="str">
        <f>HYPERLINK("http://141.218.60.56/~jnz1568/getInfo.php?workbook=10_02.xlsx&amp;sheet=A0&amp;row=361&amp;col=12&amp;number=&amp;sourceID=47","")</f>
        <v/>
      </c>
    </row>
    <row r="362" spans="1:12">
      <c r="A362" s="3">
        <v>10</v>
      </c>
      <c r="B362" s="3">
        <v>2</v>
      </c>
      <c r="C362" s="3">
        <v>30</v>
      </c>
      <c r="D362" s="3">
        <v>22</v>
      </c>
      <c r="E362" s="3">
        <f>((1/(INDEX(E0!J$4:J$52,C362,1)-INDEX(E0!J$4:J$52,D362,1))))*100000000</f>
        <v>0</v>
      </c>
      <c r="F362" s="4" t="str">
        <f>HYPERLINK("http://141.218.60.56/~jnz1568/getInfo.php?workbook=10_02.xlsx&amp;sheet=A0&amp;row=362&amp;col=6&amp;number=&amp;sourceID=27","")</f>
        <v/>
      </c>
      <c r="G362" s="4" t="str">
        <f>HYPERLINK("http://141.218.60.56/~jnz1568/getInfo.php?workbook=10_02.xlsx&amp;sheet=A0&amp;row=362&amp;col=7&amp;number=&amp;sourceID=32","")</f>
        <v/>
      </c>
      <c r="H362" s="4" t="str">
        <f>HYPERLINK("http://141.218.60.56/~jnz1568/getInfo.php?workbook=10_02.xlsx&amp;sheet=A0&amp;row=362&amp;col=8&amp;number=0.0002943&amp;sourceID=32","0.0002943")</f>
        <v>0.0002943</v>
      </c>
      <c r="I362" s="4" t="str">
        <f>HYPERLINK("http://141.218.60.56/~jnz1568/getInfo.php?workbook=10_02.xlsx&amp;sheet=A0&amp;row=362&amp;col=9&amp;number=3.954e-09&amp;sourceID=32","3.954e-09")</f>
        <v>3.954e-09</v>
      </c>
      <c r="J362" s="4" t="str">
        <f>HYPERLINK("http://141.218.60.56/~jnz1568/getInfo.php?workbook=10_02.xlsx&amp;sheet=A0&amp;row=362&amp;col=10&amp;number=&amp;sourceID=32","")</f>
        <v/>
      </c>
      <c r="K362" s="4" t="str">
        <f>HYPERLINK("http://141.218.60.56/~jnz1568/getInfo.php?workbook=10_02.xlsx&amp;sheet=A0&amp;row=362&amp;col=11&amp;number=&amp;sourceID=46","")</f>
        <v/>
      </c>
      <c r="L362" s="4" t="str">
        <f>HYPERLINK("http://141.218.60.56/~jnz1568/getInfo.php?workbook=10_02.xlsx&amp;sheet=A0&amp;row=362&amp;col=12&amp;number=&amp;sourceID=47","")</f>
        <v/>
      </c>
    </row>
    <row r="363" spans="1:12">
      <c r="A363" s="3">
        <v>10</v>
      </c>
      <c r="B363" s="3">
        <v>2</v>
      </c>
      <c r="C363" s="3">
        <v>30</v>
      </c>
      <c r="D363" s="3">
        <v>23</v>
      </c>
      <c r="E363" s="3">
        <f>((1/(INDEX(E0!J$4:J$52,C363,1)-INDEX(E0!J$4:J$52,D363,1))))*100000000</f>
        <v>0</v>
      </c>
      <c r="F363" s="4" t="str">
        <f>HYPERLINK("http://141.218.60.56/~jnz1568/getInfo.php?workbook=10_02.xlsx&amp;sheet=A0&amp;row=363&amp;col=6&amp;number=&amp;sourceID=27","")</f>
        <v/>
      </c>
      <c r="G363" s="4" t="str">
        <f>HYPERLINK("http://141.218.60.56/~jnz1568/getInfo.php?workbook=10_02.xlsx&amp;sheet=A0&amp;row=363&amp;col=7&amp;number=&amp;sourceID=32","")</f>
        <v/>
      </c>
      <c r="H363" s="4" t="str">
        <f>HYPERLINK("http://141.218.60.56/~jnz1568/getInfo.php?workbook=10_02.xlsx&amp;sheet=A0&amp;row=363&amp;col=8&amp;number=&amp;sourceID=32","")</f>
        <v/>
      </c>
      <c r="I363" s="4" t="str">
        <f>HYPERLINK("http://141.218.60.56/~jnz1568/getInfo.php?workbook=10_02.xlsx&amp;sheet=A0&amp;row=363&amp;col=9&amp;number=&amp;sourceID=32","")</f>
        <v/>
      </c>
      <c r="J363" s="4" t="str">
        <f>HYPERLINK("http://141.218.60.56/~jnz1568/getInfo.php?workbook=10_02.xlsx&amp;sheet=A0&amp;row=363&amp;col=10&amp;number=8.6e-14&amp;sourceID=32","8.6e-14")</f>
        <v>8.6e-14</v>
      </c>
      <c r="K363" s="4" t="str">
        <f>HYPERLINK("http://141.218.60.56/~jnz1568/getInfo.php?workbook=10_02.xlsx&amp;sheet=A0&amp;row=363&amp;col=11&amp;number=&amp;sourceID=46","")</f>
        <v/>
      </c>
      <c r="L363" s="4" t="str">
        <f>HYPERLINK("http://141.218.60.56/~jnz1568/getInfo.php?workbook=10_02.xlsx&amp;sheet=A0&amp;row=363&amp;col=12&amp;number=&amp;sourceID=47","")</f>
        <v/>
      </c>
    </row>
    <row r="364" spans="1:12">
      <c r="A364" s="3">
        <v>10</v>
      </c>
      <c r="B364" s="3">
        <v>2</v>
      </c>
      <c r="C364" s="3">
        <v>30</v>
      </c>
      <c r="D364" s="3">
        <v>24</v>
      </c>
      <c r="E364" s="3">
        <f>((1/(INDEX(E0!J$4:J$52,C364,1)-INDEX(E0!J$4:J$52,D364,1))))*100000000</f>
        <v>0</v>
      </c>
      <c r="F364" s="4" t="str">
        <f>HYPERLINK("http://141.218.60.56/~jnz1568/getInfo.php?workbook=10_02.xlsx&amp;sheet=A0&amp;row=364&amp;col=6&amp;number=&amp;sourceID=27","")</f>
        <v/>
      </c>
      <c r="G364" s="4" t="str">
        <f>HYPERLINK("http://141.218.60.56/~jnz1568/getInfo.php?workbook=10_02.xlsx&amp;sheet=A0&amp;row=364&amp;col=7&amp;number=37.39&amp;sourceID=32","37.39")</f>
        <v>37.39</v>
      </c>
      <c r="H364" s="4" t="str">
        <f>HYPERLINK("http://141.218.60.56/~jnz1568/getInfo.php?workbook=10_02.xlsx&amp;sheet=A0&amp;row=364&amp;col=8&amp;number=&amp;sourceID=32","")</f>
        <v/>
      </c>
      <c r="I364" s="4" t="str">
        <f>HYPERLINK("http://141.218.60.56/~jnz1568/getInfo.php?workbook=10_02.xlsx&amp;sheet=A0&amp;row=364&amp;col=9&amp;number=&amp;sourceID=32","")</f>
        <v/>
      </c>
      <c r="J364" s="4" t="str">
        <f>HYPERLINK("http://141.218.60.56/~jnz1568/getInfo.php?workbook=10_02.xlsx&amp;sheet=A0&amp;row=364&amp;col=10&amp;number=1.96e-13&amp;sourceID=32","1.96e-13")</f>
        <v>1.96e-13</v>
      </c>
      <c r="K364" s="4" t="str">
        <f>HYPERLINK("http://141.218.60.56/~jnz1568/getInfo.php?workbook=10_02.xlsx&amp;sheet=A0&amp;row=364&amp;col=11&amp;number=43.312&amp;sourceID=46","43.312")</f>
        <v>43.312</v>
      </c>
      <c r="L364" s="4" t="str">
        <f>HYPERLINK("http://141.218.60.56/~jnz1568/getInfo.php?workbook=10_02.xlsx&amp;sheet=A0&amp;row=364&amp;col=12&amp;number=&amp;sourceID=47","")</f>
        <v/>
      </c>
    </row>
    <row r="365" spans="1:12">
      <c r="A365" s="3">
        <v>10</v>
      </c>
      <c r="B365" s="3">
        <v>2</v>
      </c>
      <c r="C365" s="3">
        <v>30</v>
      </c>
      <c r="D365" s="3">
        <v>25</v>
      </c>
      <c r="E365" s="3">
        <f>((1/(INDEX(E0!J$4:J$52,C365,1)-INDEX(E0!J$4:J$52,D365,1))))*100000000</f>
        <v>0</v>
      </c>
      <c r="F365" s="4" t="str">
        <f>HYPERLINK("http://141.218.60.56/~jnz1568/getInfo.php?workbook=10_02.xlsx&amp;sheet=A0&amp;row=365&amp;col=6&amp;number=&amp;sourceID=27","")</f>
        <v/>
      </c>
      <c r="G365" s="4" t="str">
        <f>HYPERLINK("http://141.218.60.56/~jnz1568/getInfo.php?workbook=10_02.xlsx&amp;sheet=A0&amp;row=365&amp;col=7&amp;number=4.678&amp;sourceID=32","4.678")</f>
        <v>4.678</v>
      </c>
      <c r="H365" s="4" t="str">
        <f>HYPERLINK("http://141.218.60.56/~jnz1568/getInfo.php?workbook=10_02.xlsx&amp;sheet=A0&amp;row=365&amp;col=8&amp;number=&amp;sourceID=32","")</f>
        <v/>
      </c>
      <c r="I365" s="4" t="str">
        <f>HYPERLINK("http://141.218.60.56/~jnz1568/getInfo.php?workbook=10_02.xlsx&amp;sheet=A0&amp;row=365&amp;col=9&amp;number=&amp;sourceID=32","")</f>
        <v/>
      </c>
      <c r="J365" s="4" t="str">
        <f>HYPERLINK("http://141.218.60.56/~jnz1568/getInfo.php?workbook=10_02.xlsx&amp;sheet=A0&amp;row=365&amp;col=10&amp;number=3.6e-14&amp;sourceID=32","3.6e-14")</f>
        <v>3.6e-14</v>
      </c>
      <c r="K365" s="4" t="str">
        <f>HYPERLINK("http://141.218.60.56/~jnz1568/getInfo.php?workbook=10_02.xlsx&amp;sheet=A0&amp;row=365&amp;col=11&amp;number=5.0054&amp;sourceID=46","5.0054")</f>
        <v>5.0054</v>
      </c>
      <c r="L365" s="4" t="str">
        <f>HYPERLINK("http://141.218.60.56/~jnz1568/getInfo.php?workbook=10_02.xlsx&amp;sheet=A0&amp;row=365&amp;col=12&amp;number=&amp;sourceID=47","")</f>
        <v/>
      </c>
    </row>
    <row r="366" spans="1:12">
      <c r="A366" s="3">
        <v>10</v>
      </c>
      <c r="B366" s="3">
        <v>2</v>
      </c>
      <c r="C366" s="3">
        <v>31</v>
      </c>
      <c r="D366" s="3">
        <v>1</v>
      </c>
      <c r="E366" s="3">
        <f>((1/(INDEX(E0!J$4:J$52,C366,1)-INDEX(E0!J$4:J$52,D366,1))))*100000000</f>
        <v>0</v>
      </c>
      <c r="F366" s="4" t="str">
        <f>HYPERLINK("http://141.218.60.56/~jnz1568/getInfo.php?workbook=10_02.xlsx&amp;sheet=A0&amp;row=366&amp;col=6&amp;number=&amp;sourceID=27","")</f>
        <v/>
      </c>
      <c r="G366" s="4" t="str">
        <f>HYPERLINK("http://141.218.60.56/~jnz1568/getInfo.php?workbook=10_02.xlsx&amp;sheet=A0&amp;row=366&amp;col=7&amp;number=1025000000000&amp;sourceID=32","1025000000000")</f>
        <v>1025000000000</v>
      </c>
      <c r="H366" s="4" t="str">
        <f>HYPERLINK("http://141.218.60.56/~jnz1568/getInfo.php?workbook=10_02.xlsx&amp;sheet=A0&amp;row=366&amp;col=8&amp;number=&amp;sourceID=32","")</f>
        <v/>
      </c>
      <c r="I366" s="4" t="str">
        <f>HYPERLINK("http://141.218.60.56/~jnz1568/getInfo.php?workbook=10_02.xlsx&amp;sheet=A0&amp;row=366&amp;col=9&amp;number=&amp;sourceID=32","")</f>
        <v/>
      </c>
      <c r="J366" s="4" t="str">
        <f>HYPERLINK("http://141.218.60.56/~jnz1568/getInfo.php?workbook=10_02.xlsx&amp;sheet=A0&amp;row=366&amp;col=10&amp;number=&amp;sourceID=32","")</f>
        <v/>
      </c>
      <c r="K366" s="4" t="str">
        <f>HYPERLINK("http://141.218.60.56/~jnz1568/getInfo.php?workbook=10_02.xlsx&amp;sheet=A0&amp;row=366&amp;col=11&amp;number=1114300000000&amp;sourceID=46","1114300000000")</f>
        <v>1114300000000</v>
      </c>
      <c r="L366" s="4" t="str">
        <f>HYPERLINK("http://141.218.60.56/~jnz1568/getInfo.php?workbook=10_02.xlsx&amp;sheet=A0&amp;row=366&amp;col=12&amp;number=&amp;sourceID=47","")</f>
        <v/>
      </c>
    </row>
    <row r="367" spans="1:12">
      <c r="A367" s="3">
        <v>10</v>
      </c>
      <c r="B367" s="3">
        <v>2</v>
      </c>
      <c r="C367" s="3">
        <v>31</v>
      </c>
      <c r="D367" s="3">
        <v>2</v>
      </c>
      <c r="E367" s="3">
        <f>((1/(INDEX(E0!J$4:J$52,C367,1)-INDEX(E0!J$4:J$52,D367,1))))*100000000</f>
        <v>0</v>
      </c>
      <c r="F367" s="4" t="str">
        <f>HYPERLINK("http://141.218.60.56/~jnz1568/getInfo.php?workbook=10_02.xlsx&amp;sheet=A0&amp;row=367&amp;col=6&amp;number=&amp;sourceID=27","")</f>
        <v/>
      </c>
      <c r="G367" s="4" t="str">
        <f>HYPERLINK("http://141.218.60.56/~jnz1568/getInfo.php?workbook=10_02.xlsx&amp;sheet=A0&amp;row=367&amp;col=7&amp;number=40700000&amp;sourceID=32","40700000")</f>
        <v>40700000</v>
      </c>
      <c r="H367" s="4" t="str">
        <f>HYPERLINK("http://141.218.60.56/~jnz1568/getInfo.php?workbook=10_02.xlsx&amp;sheet=A0&amp;row=367&amp;col=8&amp;number=&amp;sourceID=32","")</f>
        <v/>
      </c>
      <c r="I367" s="4" t="str">
        <f>HYPERLINK("http://141.218.60.56/~jnz1568/getInfo.php?workbook=10_02.xlsx&amp;sheet=A0&amp;row=367&amp;col=9&amp;number=&amp;sourceID=32","")</f>
        <v/>
      </c>
      <c r="J367" s="4" t="str">
        <f>HYPERLINK("http://141.218.60.56/~jnz1568/getInfo.php?workbook=10_02.xlsx&amp;sheet=A0&amp;row=367&amp;col=10&amp;number=1463&amp;sourceID=32","1463")</f>
        <v>1463</v>
      </c>
      <c r="K367" s="4" t="str">
        <f>HYPERLINK("http://141.218.60.56/~jnz1568/getInfo.php?workbook=10_02.xlsx&amp;sheet=A0&amp;row=367&amp;col=11&amp;number=21484000&amp;sourceID=46","21484000")</f>
        <v>21484000</v>
      </c>
      <c r="L367" s="4" t="str">
        <f>HYPERLINK("http://141.218.60.56/~jnz1568/getInfo.php?workbook=10_02.xlsx&amp;sheet=A0&amp;row=367&amp;col=12&amp;number=&amp;sourceID=47","")</f>
        <v/>
      </c>
    </row>
    <row r="368" spans="1:12">
      <c r="A368" s="3">
        <v>10</v>
      </c>
      <c r="B368" s="3">
        <v>2</v>
      </c>
      <c r="C368" s="3">
        <v>31</v>
      </c>
      <c r="D368" s="3">
        <v>3</v>
      </c>
      <c r="E368" s="3">
        <f>((1/(INDEX(E0!J$4:J$52,C368,1)-INDEX(E0!J$4:J$52,D368,1))))*100000000</f>
        <v>0</v>
      </c>
      <c r="F368" s="4" t="str">
        <f>HYPERLINK("http://141.218.60.56/~jnz1568/getInfo.php?workbook=10_02.xlsx&amp;sheet=A0&amp;row=368&amp;col=6&amp;number=&amp;sourceID=27","")</f>
        <v/>
      </c>
      <c r="G368" s="4" t="str">
        <f>HYPERLINK("http://141.218.60.56/~jnz1568/getInfo.php?workbook=10_02.xlsx&amp;sheet=A0&amp;row=368&amp;col=7&amp;number=&amp;sourceID=32","")</f>
        <v/>
      </c>
      <c r="H368" s="4" t="str">
        <f>HYPERLINK("http://141.218.60.56/~jnz1568/getInfo.php?workbook=10_02.xlsx&amp;sheet=A0&amp;row=368&amp;col=8&amp;number=&amp;sourceID=32","")</f>
        <v/>
      </c>
      <c r="I368" s="4" t="str">
        <f>HYPERLINK("http://141.218.60.56/~jnz1568/getInfo.php?workbook=10_02.xlsx&amp;sheet=A0&amp;row=368&amp;col=9&amp;number=3.407&amp;sourceID=32","3.407")</f>
        <v>3.407</v>
      </c>
      <c r="J368" s="4" t="str">
        <f>HYPERLINK("http://141.218.60.56/~jnz1568/getInfo.php?workbook=10_02.xlsx&amp;sheet=A0&amp;row=368&amp;col=10&amp;number=&amp;sourceID=32","")</f>
        <v/>
      </c>
      <c r="K368" s="4" t="str">
        <f>HYPERLINK("http://141.218.60.56/~jnz1568/getInfo.php?workbook=10_02.xlsx&amp;sheet=A0&amp;row=368&amp;col=11&amp;number=3.206&amp;sourceID=46","3.206")</f>
        <v>3.206</v>
      </c>
      <c r="L368" s="4" t="str">
        <f>HYPERLINK("http://141.218.60.56/~jnz1568/getInfo.php?workbook=10_02.xlsx&amp;sheet=A0&amp;row=368&amp;col=12&amp;number=&amp;sourceID=47","")</f>
        <v/>
      </c>
    </row>
    <row r="369" spans="1:12">
      <c r="A369" s="3">
        <v>10</v>
      </c>
      <c r="B369" s="3">
        <v>2</v>
      </c>
      <c r="C369" s="3">
        <v>31</v>
      </c>
      <c r="D369" s="3">
        <v>4</v>
      </c>
      <c r="E369" s="3">
        <f>((1/(INDEX(E0!J$4:J$52,C369,1)-INDEX(E0!J$4:J$52,D369,1))))*100000000</f>
        <v>0</v>
      </c>
      <c r="F369" s="4" t="str">
        <f>HYPERLINK("http://141.218.60.56/~jnz1568/getInfo.php?workbook=10_02.xlsx&amp;sheet=A0&amp;row=369&amp;col=6&amp;number=&amp;sourceID=27","")</f>
        <v/>
      </c>
      <c r="G369" s="4" t="str">
        <f>HYPERLINK("http://141.218.60.56/~jnz1568/getInfo.php?workbook=10_02.xlsx&amp;sheet=A0&amp;row=369&amp;col=7&amp;number=&amp;sourceID=32","")</f>
        <v/>
      </c>
      <c r="H369" s="4" t="str">
        <f>HYPERLINK("http://141.218.60.56/~jnz1568/getInfo.php?workbook=10_02.xlsx&amp;sheet=A0&amp;row=369&amp;col=8&amp;number=7906&amp;sourceID=32","7906")</f>
        <v>7906</v>
      </c>
      <c r="I369" s="4" t="str">
        <f>HYPERLINK("http://141.218.60.56/~jnz1568/getInfo.php?workbook=10_02.xlsx&amp;sheet=A0&amp;row=369&amp;col=9&amp;number=1.985&amp;sourceID=32","1.985")</f>
        <v>1.985</v>
      </c>
      <c r="J369" s="4" t="str">
        <f>HYPERLINK("http://141.218.60.56/~jnz1568/getInfo.php?workbook=10_02.xlsx&amp;sheet=A0&amp;row=369&amp;col=10&amp;number=&amp;sourceID=32","")</f>
        <v/>
      </c>
      <c r="K369" s="4" t="str">
        <f>HYPERLINK("http://141.218.60.56/~jnz1568/getInfo.php?workbook=10_02.xlsx&amp;sheet=A0&amp;row=369&amp;col=11&amp;number=7169.3&amp;sourceID=46","7169.3")</f>
        <v>7169.3</v>
      </c>
      <c r="L369" s="4" t="str">
        <f>HYPERLINK("http://141.218.60.56/~jnz1568/getInfo.php?workbook=10_02.xlsx&amp;sheet=A0&amp;row=369&amp;col=12&amp;number=&amp;sourceID=47","")</f>
        <v/>
      </c>
    </row>
    <row r="370" spans="1:12">
      <c r="A370" s="3">
        <v>10</v>
      </c>
      <c r="B370" s="3">
        <v>2</v>
      </c>
      <c r="C370" s="3">
        <v>31</v>
      </c>
      <c r="D370" s="3">
        <v>5</v>
      </c>
      <c r="E370" s="3">
        <f>((1/(INDEX(E0!J$4:J$52,C370,1)-INDEX(E0!J$4:J$52,D370,1))))*100000000</f>
        <v>0</v>
      </c>
      <c r="F370" s="4" t="str">
        <f>HYPERLINK("http://141.218.60.56/~jnz1568/getInfo.php?workbook=10_02.xlsx&amp;sheet=A0&amp;row=370&amp;col=6&amp;number=&amp;sourceID=27","")</f>
        <v/>
      </c>
      <c r="G370" s="4" t="str">
        <f>HYPERLINK("http://141.218.60.56/~jnz1568/getInfo.php?workbook=10_02.xlsx&amp;sheet=A0&amp;row=370&amp;col=7&amp;number=&amp;sourceID=32","")</f>
        <v/>
      </c>
      <c r="H370" s="4" t="str">
        <f>HYPERLINK("http://141.218.60.56/~jnz1568/getInfo.php?workbook=10_02.xlsx&amp;sheet=A0&amp;row=370&amp;col=8&amp;number=2937&amp;sourceID=32","2937")</f>
        <v>2937</v>
      </c>
      <c r="I370" s="4" t="str">
        <f>HYPERLINK("http://141.218.60.56/~jnz1568/getInfo.php?workbook=10_02.xlsx&amp;sheet=A0&amp;row=370&amp;col=9&amp;number=16.72&amp;sourceID=32","16.72")</f>
        <v>16.72</v>
      </c>
      <c r="J370" s="4" t="str">
        <f>HYPERLINK("http://141.218.60.56/~jnz1568/getInfo.php?workbook=10_02.xlsx&amp;sheet=A0&amp;row=370&amp;col=10&amp;number=&amp;sourceID=32","")</f>
        <v/>
      </c>
      <c r="K370" s="4" t="str">
        <f>HYPERLINK("http://141.218.60.56/~jnz1568/getInfo.php?workbook=10_02.xlsx&amp;sheet=A0&amp;row=370&amp;col=11&amp;number=1621.3&amp;sourceID=46","1621.3")</f>
        <v>1621.3</v>
      </c>
      <c r="L370" s="4" t="str">
        <f>HYPERLINK("http://141.218.60.56/~jnz1568/getInfo.php?workbook=10_02.xlsx&amp;sheet=A0&amp;row=370&amp;col=12&amp;number=&amp;sourceID=47","")</f>
        <v/>
      </c>
    </row>
    <row r="371" spans="1:12">
      <c r="A371" s="3">
        <v>10</v>
      </c>
      <c r="B371" s="3">
        <v>2</v>
      </c>
      <c r="C371" s="3">
        <v>31</v>
      </c>
      <c r="D371" s="3">
        <v>6</v>
      </c>
      <c r="E371" s="3">
        <f>((1/(INDEX(E0!J$4:J$52,C371,1)-INDEX(E0!J$4:J$52,D371,1))))*100000000</f>
        <v>0</v>
      </c>
      <c r="F371" s="4" t="str">
        <f>HYPERLINK("http://141.218.60.56/~jnz1568/getInfo.php?workbook=10_02.xlsx&amp;sheet=A0&amp;row=371&amp;col=6&amp;number=&amp;sourceID=27","")</f>
        <v/>
      </c>
      <c r="G371" s="4" t="str">
        <f>HYPERLINK("http://141.218.60.56/~jnz1568/getInfo.php?workbook=10_02.xlsx&amp;sheet=A0&amp;row=371&amp;col=7&amp;number=61830000000&amp;sourceID=32","61830000000")</f>
        <v>61830000000</v>
      </c>
      <c r="H371" s="4" t="str">
        <f>HYPERLINK("http://141.218.60.56/~jnz1568/getInfo.php?workbook=10_02.xlsx&amp;sheet=A0&amp;row=371&amp;col=8&amp;number=&amp;sourceID=32","")</f>
        <v/>
      </c>
      <c r="I371" s="4" t="str">
        <f>HYPERLINK("http://141.218.60.56/~jnz1568/getInfo.php?workbook=10_02.xlsx&amp;sheet=A0&amp;row=371&amp;col=9&amp;number=&amp;sourceID=32","")</f>
        <v/>
      </c>
      <c r="J371" s="4" t="str">
        <f>HYPERLINK("http://141.218.60.56/~jnz1568/getInfo.php?workbook=10_02.xlsx&amp;sheet=A0&amp;row=371&amp;col=10&amp;number=&amp;sourceID=32","")</f>
        <v/>
      </c>
      <c r="K371" s="4" t="str">
        <f>HYPERLINK("http://141.218.60.56/~jnz1568/getInfo.php?workbook=10_02.xlsx&amp;sheet=A0&amp;row=371&amp;col=11&amp;number=64523000000&amp;sourceID=46","64523000000")</f>
        <v>64523000000</v>
      </c>
      <c r="L371" s="4" t="str">
        <f>HYPERLINK("http://141.218.60.56/~jnz1568/getInfo.php?workbook=10_02.xlsx&amp;sheet=A0&amp;row=371&amp;col=12&amp;number=&amp;sourceID=47","")</f>
        <v/>
      </c>
    </row>
    <row r="372" spans="1:12">
      <c r="A372" s="3">
        <v>10</v>
      </c>
      <c r="B372" s="3">
        <v>2</v>
      </c>
      <c r="C372" s="3">
        <v>31</v>
      </c>
      <c r="D372" s="3">
        <v>7</v>
      </c>
      <c r="E372" s="3">
        <f>((1/(INDEX(E0!J$4:J$52,C372,1)-INDEX(E0!J$4:J$52,D372,1))))*100000000</f>
        <v>0</v>
      </c>
      <c r="F372" s="4" t="str">
        <f>HYPERLINK("http://141.218.60.56/~jnz1568/getInfo.php?workbook=10_02.xlsx&amp;sheet=A0&amp;row=372&amp;col=6&amp;number=&amp;sourceID=27","")</f>
        <v/>
      </c>
      <c r="G372" s="4" t="str">
        <f>HYPERLINK("http://141.218.60.56/~jnz1568/getInfo.php?workbook=10_02.xlsx&amp;sheet=A0&amp;row=372&amp;col=7&amp;number=&amp;sourceID=32","")</f>
        <v/>
      </c>
      <c r="H372" s="4" t="str">
        <f>HYPERLINK("http://141.218.60.56/~jnz1568/getInfo.php?workbook=10_02.xlsx&amp;sheet=A0&amp;row=372&amp;col=8&amp;number=5371000&amp;sourceID=32","5371000")</f>
        <v>5371000</v>
      </c>
      <c r="I372" s="4" t="str">
        <f>HYPERLINK("http://141.218.60.56/~jnz1568/getInfo.php?workbook=10_02.xlsx&amp;sheet=A0&amp;row=372&amp;col=9&amp;number=3.6&amp;sourceID=32","3.6")</f>
        <v>3.6</v>
      </c>
      <c r="J372" s="4" t="str">
        <f>HYPERLINK("http://141.218.60.56/~jnz1568/getInfo.php?workbook=10_02.xlsx&amp;sheet=A0&amp;row=372&amp;col=10&amp;number=&amp;sourceID=32","")</f>
        <v/>
      </c>
      <c r="K372" s="4" t="str">
        <f>HYPERLINK("http://141.218.60.56/~jnz1568/getInfo.php?workbook=10_02.xlsx&amp;sheet=A0&amp;row=372&amp;col=11&amp;number=5793000&amp;sourceID=46","5793000")</f>
        <v>5793000</v>
      </c>
      <c r="L372" s="4" t="str">
        <f>HYPERLINK("http://141.218.60.56/~jnz1568/getInfo.php?workbook=10_02.xlsx&amp;sheet=A0&amp;row=372&amp;col=12&amp;number=&amp;sourceID=47","")</f>
        <v/>
      </c>
    </row>
    <row r="373" spans="1:12">
      <c r="A373" s="3">
        <v>10</v>
      </c>
      <c r="B373" s="3">
        <v>2</v>
      </c>
      <c r="C373" s="3">
        <v>31</v>
      </c>
      <c r="D373" s="3">
        <v>8</v>
      </c>
      <c r="E373" s="3">
        <f>((1/(INDEX(E0!J$4:J$52,C373,1)-INDEX(E0!J$4:J$52,D373,1))))*100000000</f>
        <v>0</v>
      </c>
      <c r="F373" s="4" t="str">
        <f>HYPERLINK("http://141.218.60.56/~jnz1568/getInfo.php?workbook=10_02.xlsx&amp;sheet=A0&amp;row=373&amp;col=6&amp;number=&amp;sourceID=27","")</f>
        <v/>
      </c>
      <c r="G373" s="4" t="str">
        <f>HYPERLINK("http://141.218.60.56/~jnz1568/getInfo.php?workbook=10_02.xlsx&amp;sheet=A0&amp;row=373&amp;col=7&amp;number=11180000&amp;sourceID=32","11180000")</f>
        <v>11180000</v>
      </c>
      <c r="H373" s="4" t="str">
        <f>HYPERLINK("http://141.218.60.56/~jnz1568/getInfo.php?workbook=10_02.xlsx&amp;sheet=A0&amp;row=373&amp;col=8&amp;number=&amp;sourceID=32","")</f>
        <v/>
      </c>
      <c r="I373" s="4" t="str">
        <f>HYPERLINK("http://141.218.60.56/~jnz1568/getInfo.php?workbook=10_02.xlsx&amp;sheet=A0&amp;row=373&amp;col=9&amp;number=&amp;sourceID=32","")</f>
        <v/>
      </c>
      <c r="J373" s="4" t="str">
        <f>HYPERLINK("http://141.218.60.56/~jnz1568/getInfo.php?workbook=10_02.xlsx&amp;sheet=A0&amp;row=373&amp;col=10&amp;number=27.54&amp;sourceID=32","27.54")</f>
        <v>27.54</v>
      </c>
      <c r="K373" s="4" t="str">
        <f>HYPERLINK("http://141.218.60.56/~jnz1568/getInfo.php?workbook=10_02.xlsx&amp;sheet=A0&amp;row=373&amp;col=11&amp;number=6900300&amp;sourceID=46","6900300")</f>
        <v>6900300</v>
      </c>
      <c r="L373" s="4" t="str">
        <f>HYPERLINK("http://141.218.60.56/~jnz1568/getInfo.php?workbook=10_02.xlsx&amp;sheet=A0&amp;row=373&amp;col=12&amp;number=&amp;sourceID=47","")</f>
        <v/>
      </c>
    </row>
    <row r="374" spans="1:12">
      <c r="A374" s="3">
        <v>10</v>
      </c>
      <c r="B374" s="3">
        <v>2</v>
      </c>
      <c r="C374" s="3">
        <v>31</v>
      </c>
      <c r="D374" s="3">
        <v>9</v>
      </c>
      <c r="E374" s="3">
        <f>((1/(INDEX(E0!J$4:J$52,C374,1)-INDEX(E0!J$4:J$52,D374,1))))*100000000</f>
        <v>0</v>
      </c>
      <c r="F374" s="4" t="str">
        <f>HYPERLINK("http://141.218.60.56/~jnz1568/getInfo.php?workbook=10_02.xlsx&amp;sheet=A0&amp;row=374&amp;col=6&amp;number=&amp;sourceID=27","")</f>
        <v/>
      </c>
      <c r="G374" s="4" t="str">
        <f>HYPERLINK("http://141.218.60.56/~jnz1568/getInfo.php?workbook=10_02.xlsx&amp;sheet=A0&amp;row=374&amp;col=7&amp;number=&amp;sourceID=32","")</f>
        <v/>
      </c>
      <c r="H374" s="4" t="str">
        <f>HYPERLINK("http://141.218.60.56/~jnz1568/getInfo.php?workbook=10_02.xlsx&amp;sheet=A0&amp;row=374&amp;col=8&amp;number=&amp;sourceID=32","")</f>
        <v/>
      </c>
      <c r="I374" s="4" t="str">
        <f>HYPERLINK("http://141.218.60.56/~jnz1568/getInfo.php?workbook=10_02.xlsx&amp;sheet=A0&amp;row=374&amp;col=9&amp;number=0.4547&amp;sourceID=32","0.4547")</f>
        <v>0.4547</v>
      </c>
      <c r="J374" s="4" t="str">
        <f>HYPERLINK("http://141.218.60.56/~jnz1568/getInfo.php?workbook=10_02.xlsx&amp;sheet=A0&amp;row=374&amp;col=10&amp;number=&amp;sourceID=32","")</f>
        <v/>
      </c>
      <c r="K374" s="4" t="str">
        <f>HYPERLINK("http://141.218.60.56/~jnz1568/getInfo.php?workbook=10_02.xlsx&amp;sheet=A0&amp;row=374&amp;col=11&amp;number=&amp;sourceID=46","")</f>
        <v/>
      </c>
      <c r="L374" s="4" t="str">
        <f>HYPERLINK("http://141.218.60.56/~jnz1568/getInfo.php?workbook=10_02.xlsx&amp;sheet=A0&amp;row=374&amp;col=12&amp;number=&amp;sourceID=47","")</f>
        <v/>
      </c>
    </row>
    <row r="375" spans="1:12">
      <c r="A375" s="3">
        <v>10</v>
      </c>
      <c r="B375" s="3">
        <v>2</v>
      </c>
      <c r="C375" s="3">
        <v>31</v>
      </c>
      <c r="D375" s="3">
        <v>10</v>
      </c>
      <c r="E375" s="3">
        <f>((1/(INDEX(E0!J$4:J$52,C375,1)-INDEX(E0!J$4:J$52,D375,1))))*100000000</f>
        <v>0</v>
      </c>
      <c r="F375" s="4" t="str">
        <f>HYPERLINK("http://141.218.60.56/~jnz1568/getInfo.php?workbook=10_02.xlsx&amp;sheet=A0&amp;row=375&amp;col=6&amp;number=&amp;sourceID=27","")</f>
        <v/>
      </c>
      <c r="G375" s="4" t="str">
        <f>HYPERLINK("http://141.218.60.56/~jnz1568/getInfo.php?workbook=10_02.xlsx&amp;sheet=A0&amp;row=375&amp;col=7&amp;number=&amp;sourceID=32","")</f>
        <v/>
      </c>
      <c r="H375" s="4" t="str">
        <f>HYPERLINK("http://141.218.60.56/~jnz1568/getInfo.php?workbook=10_02.xlsx&amp;sheet=A0&amp;row=375&amp;col=8&amp;number=2028&amp;sourceID=32","2028")</f>
        <v>2028</v>
      </c>
      <c r="I375" s="4" t="str">
        <f>HYPERLINK("http://141.218.60.56/~jnz1568/getInfo.php?workbook=10_02.xlsx&amp;sheet=A0&amp;row=375&amp;col=9&amp;number=0.3319&amp;sourceID=32","0.3319")</f>
        <v>0.3319</v>
      </c>
      <c r="J375" s="4" t="str">
        <f>HYPERLINK("http://141.218.60.56/~jnz1568/getInfo.php?workbook=10_02.xlsx&amp;sheet=A0&amp;row=375&amp;col=10&amp;number=&amp;sourceID=32","")</f>
        <v/>
      </c>
      <c r="K375" s="4" t="str">
        <f>HYPERLINK("http://141.218.60.56/~jnz1568/getInfo.php?workbook=10_02.xlsx&amp;sheet=A0&amp;row=375&amp;col=11&amp;number=1443&amp;sourceID=46","1443")</f>
        <v>1443</v>
      </c>
      <c r="L375" s="4" t="str">
        <f>HYPERLINK("http://141.218.60.56/~jnz1568/getInfo.php?workbook=10_02.xlsx&amp;sheet=A0&amp;row=375&amp;col=12&amp;number=&amp;sourceID=47","")</f>
        <v/>
      </c>
    </row>
    <row r="376" spans="1:12">
      <c r="A376" s="3">
        <v>10</v>
      </c>
      <c r="B376" s="3">
        <v>2</v>
      </c>
      <c r="C376" s="3">
        <v>31</v>
      </c>
      <c r="D376" s="3">
        <v>11</v>
      </c>
      <c r="E376" s="3">
        <f>((1/(INDEX(E0!J$4:J$52,C376,1)-INDEX(E0!J$4:J$52,D376,1))))*100000000</f>
        <v>0</v>
      </c>
      <c r="F376" s="4" t="str">
        <f>HYPERLINK("http://141.218.60.56/~jnz1568/getInfo.php?workbook=10_02.xlsx&amp;sheet=A0&amp;row=376&amp;col=6&amp;number=&amp;sourceID=27","")</f>
        <v/>
      </c>
      <c r="G376" s="4" t="str">
        <f>HYPERLINK("http://141.218.60.56/~jnz1568/getInfo.php?workbook=10_02.xlsx&amp;sheet=A0&amp;row=376&amp;col=7&amp;number=18590000000&amp;sourceID=32","18590000000")</f>
        <v>18590000000</v>
      </c>
      <c r="H376" s="4" t="str">
        <f>HYPERLINK("http://141.218.60.56/~jnz1568/getInfo.php?workbook=10_02.xlsx&amp;sheet=A0&amp;row=376&amp;col=8&amp;number=&amp;sourceID=32","")</f>
        <v/>
      </c>
      <c r="I376" s="4" t="str">
        <f>HYPERLINK("http://141.218.60.56/~jnz1568/getInfo.php?workbook=10_02.xlsx&amp;sheet=A0&amp;row=376&amp;col=9&amp;number=&amp;sourceID=32","")</f>
        <v/>
      </c>
      <c r="J376" s="4" t="str">
        <f>HYPERLINK("http://141.218.60.56/~jnz1568/getInfo.php?workbook=10_02.xlsx&amp;sheet=A0&amp;row=376&amp;col=10&amp;number=&amp;sourceID=32","")</f>
        <v/>
      </c>
      <c r="K376" s="4" t="str">
        <f>HYPERLINK("http://141.218.60.56/~jnz1568/getInfo.php?workbook=10_02.xlsx&amp;sheet=A0&amp;row=376&amp;col=11&amp;number=18818000000&amp;sourceID=46","18818000000")</f>
        <v>18818000000</v>
      </c>
      <c r="L376" s="4" t="str">
        <f>HYPERLINK("http://141.218.60.56/~jnz1568/getInfo.php?workbook=10_02.xlsx&amp;sheet=A0&amp;row=376&amp;col=12&amp;number=&amp;sourceID=47","")</f>
        <v/>
      </c>
    </row>
    <row r="377" spans="1:12">
      <c r="A377" s="3">
        <v>10</v>
      </c>
      <c r="B377" s="3">
        <v>2</v>
      </c>
      <c r="C377" s="3">
        <v>31</v>
      </c>
      <c r="D377" s="3">
        <v>12</v>
      </c>
      <c r="E377" s="3">
        <f>((1/(INDEX(E0!J$4:J$52,C377,1)-INDEX(E0!J$4:J$52,D377,1))))*100000000</f>
        <v>0</v>
      </c>
      <c r="F377" s="4" t="str">
        <f>HYPERLINK("http://141.218.60.56/~jnz1568/getInfo.php?workbook=10_02.xlsx&amp;sheet=A0&amp;row=377&amp;col=6&amp;number=&amp;sourceID=27","")</f>
        <v/>
      </c>
      <c r="G377" s="4" t="str">
        <f>HYPERLINK("http://141.218.60.56/~jnz1568/getInfo.php?workbook=10_02.xlsx&amp;sheet=A0&amp;row=377&amp;col=7&amp;number=&amp;sourceID=32","")</f>
        <v/>
      </c>
      <c r="H377" s="4" t="str">
        <f>HYPERLINK("http://141.218.60.56/~jnz1568/getInfo.php?workbook=10_02.xlsx&amp;sheet=A0&amp;row=377&amp;col=8&amp;number=696.4&amp;sourceID=32","696.4")</f>
        <v>696.4</v>
      </c>
      <c r="I377" s="4" t="str">
        <f>HYPERLINK("http://141.218.60.56/~jnz1568/getInfo.php?workbook=10_02.xlsx&amp;sheet=A0&amp;row=377&amp;col=9&amp;number=0.8545&amp;sourceID=32","0.8545")</f>
        <v>0.8545</v>
      </c>
      <c r="J377" s="4" t="str">
        <f>HYPERLINK("http://141.218.60.56/~jnz1568/getInfo.php?workbook=10_02.xlsx&amp;sheet=A0&amp;row=377&amp;col=10&amp;number=&amp;sourceID=32","")</f>
        <v/>
      </c>
      <c r="K377" s="4" t="str">
        <f>HYPERLINK("http://141.218.60.56/~jnz1568/getInfo.php?workbook=10_02.xlsx&amp;sheet=A0&amp;row=377&amp;col=11&amp;number=458.55&amp;sourceID=46","458.55")</f>
        <v>458.55</v>
      </c>
      <c r="L377" s="4" t="str">
        <f>HYPERLINK("http://141.218.60.56/~jnz1568/getInfo.php?workbook=10_02.xlsx&amp;sheet=A0&amp;row=377&amp;col=12&amp;number=&amp;sourceID=47","")</f>
        <v/>
      </c>
    </row>
    <row r="378" spans="1:12">
      <c r="A378" s="3">
        <v>10</v>
      </c>
      <c r="B378" s="3">
        <v>2</v>
      </c>
      <c r="C378" s="3">
        <v>31</v>
      </c>
      <c r="D378" s="3">
        <v>13</v>
      </c>
      <c r="E378" s="3">
        <f>((1/(INDEX(E0!J$4:J$52,C378,1)-INDEX(E0!J$4:J$52,D378,1))))*100000000</f>
        <v>0</v>
      </c>
      <c r="F378" s="4" t="str">
        <f>HYPERLINK("http://141.218.60.56/~jnz1568/getInfo.php?workbook=10_02.xlsx&amp;sheet=A0&amp;row=378&amp;col=6&amp;number=&amp;sourceID=27","")</f>
        <v/>
      </c>
      <c r="G378" s="4" t="str">
        <f>HYPERLINK("http://141.218.60.56/~jnz1568/getInfo.php?workbook=10_02.xlsx&amp;sheet=A0&amp;row=378&amp;col=7&amp;number=360800&amp;sourceID=32","360800")</f>
        <v>360800</v>
      </c>
      <c r="H378" s="4" t="str">
        <f>HYPERLINK("http://141.218.60.56/~jnz1568/getInfo.php?workbook=10_02.xlsx&amp;sheet=A0&amp;row=378&amp;col=8&amp;number=&amp;sourceID=32","")</f>
        <v/>
      </c>
      <c r="I378" s="4" t="str">
        <f>HYPERLINK("http://141.218.60.56/~jnz1568/getInfo.php?workbook=10_02.xlsx&amp;sheet=A0&amp;row=378&amp;col=9&amp;number=&amp;sourceID=32","")</f>
        <v/>
      </c>
      <c r="J378" s="4" t="str">
        <f>HYPERLINK("http://141.218.60.56/~jnz1568/getInfo.php?workbook=10_02.xlsx&amp;sheet=A0&amp;row=378&amp;col=10&amp;number=0.02698&amp;sourceID=32","0.02698")</f>
        <v>0.02698</v>
      </c>
      <c r="K378" s="4" t="str">
        <f>HYPERLINK("http://141.218.60.56/~jnz1568/getInfo.php?workbook=10_02.xlsx&amp;sheet=A0&amp;row=378&amp;col=11&amp;number=229410&amp;sourceID=46","229410")</f>
        <v>229410</v>
      </c>
      <c r="L378" s="4" t="str">
        <f>HYPERLINK("http://141.218.60.56/~jnz1568/getInfo.php?workbook=10_02.xlsx&amp;sheet=A0&amp;row=378&amp;col=12&amp;number=&amp;sourceID=47","")</f>
        <v/>
      </c>
    </row>
    <row r="379" spans="1:12">
      <c r="A379" s="3">
        <v>10</v>
      </c>
      <c r="B379" s="3">
        <v>2</v>
      </c>
      <c r="C379" s="3">
        <v>31</v>
      </c>
      <c r="D379" s="3">
        <v>14</v>
      </c>
      <c r="E379" s="3">
        <f>((1/(INDEX(E0!J$4:J$52,C379,1)-INDEX(E0!J$4:J$52,D379,1))))*100000000</f>
        <v>0</v>
      </c>
      <c r="F379" s="4" t="str">
        <f>HYPERLINK("http://141.218.60.56/~jnz1568/getInfo.php?workbook=10_02.xlsx&amp;sheet=A0&amp;row=379&amp;col=6&amp;number=&amp;sourceID=27","")</f>
        <v/>
      </c>
      <c r="G379" s="4" t="str">
        <f>HYPERLINK("http://141.218.60.56/~jnz1568/getInfo.php?workbook=10_02.xlsx&amp;sheet=A0&amp;row=379&amp;col=7&amp;number=72460000&amp;sourceID=32","72460000")</f>
        <v>72460000</v>
      </c>
      <c r="H379" s="4" t="str">
        <f>HYPERLINK("http://141.218.60.56/~jnz1568/getInfo.php?workbook=10_02.xlsx&amp;sheet=A0&amp;row=379&amp;col=8&amp;number=&amp;sourceID=32","")</f>
        <v/>
      </c>
      <c r="I379" s="4" t="str">
        <f>HYPERLINK("http://141.218.60.56/~jnz1568/getInfo.php?workbook=10_02.xlsx&amp;sheet=A0&amp;row=379&amp;col=9&amp;number=&amp;sourceID=32","")</f>
        <v/>
      </c>
      <c r="J379" s="4" t="str">
        <f>HYPERLINK("http://141.218.60.56/~jnz1568/getInfo.php?workbook=10_02.xlsx&amp;sheet=A0&amp;row=379&amp;col=10&amp;number=0.2044&amp;sourceID=32","0.2044")</f>
        <v>0.2044</v>
      </c>
      <c r="K379" s="4" t="str">
        <f>HYPERLINK("http://141.218.60.56/~jnz1568/getInfo.php?workbook=10_02.xlsx&amp;sheet=A0&amp;row=379&amp;col=11&amp;number=46174000&amp;sourceID=46","46174000")</f>
        <v>46174000</v>
      </c>
      <c r="L379" s="4" t="str">
        <f>HYPERLINK("http://141.218.60.56/~jnz1568/getInfo.php?workbook=10_02.xlsx&amp;sheet=A0&amp;row=379&amp;col=12&amp;number=&amp;sourceID=47","")</f>
        <v/>
      </c>
    </row>
    <row r="380" spans="1:12">
      <c r="A380" s="3">
        <v>10</v>
      </c>
      <c r="B380" s="3">
        <v>2</v>
      </c>
      <c r="C380" s="3">
        <v>31</v>
      </c>
      <c r="D380" s="3">
        <v>15</v>
      </c>
      <c r="E380" s="3">
        <f>((1/(INDEX(E0!J$4:J$52,C380,1)-INDEX(E0!J$4:J$52,D380,1))))*100000000</f>
        <v>0</v>
      </c>
      <c r="F380" s="4" t="str">
        <f>HYPERLINK("http://141.218.60.56/~jnz1568/getInfo.php?workbook=10_02.xlsx&amp;sheet=A0&amp;row=380&amp;col=6&amp;number=&amp;sourceID=27","")</f>
        <v/>
      </c>
      <c r="G380" s="4" t="str">
        <f>HYPERLINK("http://141.218.60.56/~jnz1568/getInfo.php?workbook=10_02.xlsx&amp;sheet=A0&amp;row=380&amp;col=7&amp;number=&amp;sourceID=32","")</f>
        <v/>
      </c>
      <c r="H380" s="4" t="str">
        <f>HYPERLINK("http://141.218.60.56/~jnz1568/getInfo.php?workbook=10_02.xlsx&amp;sheet=A0&amp;row=380&amp;col=8&amp;number=&amp;sourceID=32","")</f>
        <v/>
      </c>
      <c r="I380" s="4" t="str">
        <f>HYPERLINK("http://141.218.60.56/~jnz1568/getInfo.php?workbook=10_02.xlsx&amp;sheet=A0&amp;row=380&amp;col=9&amp;number=&amp;sourceID=32","")</f>
        <v/>
      </c>
      <c r="J380" s="4" t="str">
        <f>HYPERLINK("http://141.218.60.56/~jnz1568/getInfo.php?workbook=10_02.xlsx&amp;sheet=A0&amp;row=380&amp;col=10&amp;number=2.453&amp;sourceID=32","2.453")</f>
        <v>2.453</v>
      </c>
      <c r="K380" s="4" t="str">
        <f>HYPERLINK("http://141.218.60.56/~jnz1568/getInfo.php?workbook=10_02.xlsx&amp;sheet=A0&amp;row=380&amp;col=11&amp;number=2.4469&amp;sourceID=46","2.4469")</f>
        <v>2.4469</v>
      </c>
      <c r="L380" s="4" t="str">
        <f>HYPERLINK("http://141.218.60.56/~jnz1568/getInfo.php?workbook=10_02.xlsx&amp;sheet=A0&amp;row=380&amp;col=12&amp;number=&amp;sourceID=47","")</f>
        <v/>
      </c>
    </row>
    <row r="381" spans="1:12">
      <c r="A381" s="3">
        <v>10</v>
      </c>
      <c r="B381" s="3">
        <v>2</v>
      </c>
      <c r="C381" s="3">
        <v>31</v>
      </c>
      <c r="D381" s="3">
        <v>16</v>
      </c>
      <c r="E381" s="3">
        <f>((1/(INDEX(E0!J$4:J$52,C381,1)-INDEX(E0!J$4:J$52,D381,1))))*100000000</f>
        <v>0</v>
      </c>
      <c r="F381" s="4" t="str">
        <f>HYPERLINK("http://141.218.60.56/~jnz1568/getInfo.php?workbook=10_02.xlsx&amp;sheet=A0&amp;row=381&amp;col=6&amp;number=&amp;sourceID=27","")</f>
        <v/>
      </c>
      <c r="G381" s="4" t="str">
        <f>HYPERLINK("http://141.218.60.56/~jnz1568/getInfo.php?workbook=10_02.xlsx&amp;sheet=A0&amp;row=381&amp;col=7&amp;number=2081000000&amp;sourceID=32","2081000000")</f>
        <v>2081000000</v>
      </c>
      <c r="H381" s="4" t="str">
        <f>HYPERLINK("http://141.218.60.56/~jnz1568/getInfo.php?workbook=10_02.xlsx&amp;sheet=A0&amp;row=381&amp;col=8&amp;number=&amp;sourceID=32","")</f>
        <v/>
      </c>
      <c r="I381" s="4" t="str">
        <f>HYPERLINK("http://141.218.60.56/~jnz1568/getInfo.php?workbook=10_02.xlsx&amp;sheet=A0&amp;row=381&amp;col=9&amp;number=&amp;sourceID=32","")</f>
        <v/>
      </c>
      <c r="J381" s="4" t="str">
        <f>HYPERLINK("http://141.218.60.56/~jnz1568/getInfo.php?workbook=10_02.xlsx&amp;sheet=A0&amp;row=381&amp;col=10&amp;number=1.544&amp;sourceID=32","1.544")</f>
        <v>1.544</v>
      </c>
      <c r="K381" s="4" t="str">
        <f>HYPERLINK("http://141.218.60.56/~jnz1568/getInfo.php?workbook=10_02.xlsx&amp;sheet=A0&amp;row=381&amp;col=11&amp;number=2107500000&amp;sourceID=46","2107500000")</f>
        <v>2107500000</v>
      </c>
      <c r="L381" s="4" t="str">
        <f>HYPERLINK("http://141.218.60.56/~jnz1568/getInfo.php?workbook=10_02.xlsx&amp;sheet=A0&amp;row=381&amp;col=12&amp;number=&amp;sourceID=47","")</f>
        <v/>
      </c>
    </row>
    <row r="382" spans="1:12">
      <c r="A382" s="3">
        <v>10</v>
      </c>
      <c r="B382" s="3">
        <v>2</v>
      </c>
      <c r="C382" s="3">
        <v>31</v>
      </c>
      <c r="D382" s="3">
        <v>17</v>
      </c>
      <c r="E382" s="3">
        <f>((1/(INDEX(E0!J$4:J$52,C382,1)-INDEX(E0!J$4:J$52,D382,1))))*100000000</f>
        <v>0</v>
      </c>
      <c r="F382" s="4" t="str">
        <f>HYPERLINK("http://141.218.60.56/~jnz1568/getInfo.php?workbook=10_02.xlsx&amp;sheet=A0&amp;row=382&amp;col=6&amp;number=&amp;sourceID=27","")</f>
        <v/>
      </c>
      <c r="G382" s="4" t="str">
        <f>HYPERLINK("http://141.218.60.56/~jnz1568/getInfo.php?workbook=10_02.xlsx&amp;sheet=A0&amp;row=382&amp;col=7&amp;number=&amp;sourceID=32","")</f>
        <v/>
      </c>
      <c r="H382" s="4" t="str">
        <f>HYPERLINK("http://141.218.60.56/~jnz1568/getInfo.php?workbook=10_02.xlsx&amp;sheet=A0&amp;row=382&amp;col=8&amp;number=1339000&amp;sourceID=32","1339000")</f>
        <v>1339000</v>
      </c>
      <c r="I382" s="4" t="str">
        <f>HYPERLINK("http://141.218.60.56/~jnz1568/getInfo.php?workbook=10_02.xlsx&amp;sheet=A0&amp;row=382&amp;col=9&amp;number=0.06138&amp;sourceID=32","0.06138")</f>
        <v>0.06138</v>
      </c>
      <c r="J382" s="4" t="str">
        <f>HYPERLINK("http://141.218.60.56/~jnz1568/getInfo.php?workbook=10_02.xlsx&amp;sheet=A0&amp;row=382&amp;col=10&amp;number=&amp;sourceID=32","")</f>
        <v/>
      </c>
      <c r="K382" s="4" t="str">
        <f>HYPERLINK("http://141.218.60.56/~jnz1568/getInfo.php?workbook=10_02.xlsx&amp;sheet=A0&amp;row=382&amp;col=11&amp;number=1346900&amp;sourceID=46","1346900")</f>
        <v>1346900</v>
      </c>
      <c r="L382" s="4" t="str">
        <f>HYPERLINK("http://141.218.60.56/~jnz1568/getInfo.php?workbook=10_02.xlsx&amp;sheet=A0&amp;row=382&amp;col=12&amp;number=&amp;sourceID=47","")</f>
        <v/>
      </c>
    </row>
    <row r="383" spans="1:12">
      <c r="A383" s="3">
        <v>10</v>
      </c>
      <c r="B383" s="3">
        <v>2</v>
      </c>
      <c r="C383" s="3">
        <v>31</v>
      </c>
      <c r="D383" s="3">
        <v>18</v>
      </c>
      <c r="E383" s="3">
        <f>((1/(INDEX(E0!J$4:J$52,C383,1)-INDEX(E0!J$4:J$52,D383,1))))*100000000</f>
        <v>0</v>
      </c>
      <c r="F383" s="4" t="str">
        <f>HYPERLINK("http://141.218.60.56/~jnz1568/getInfo.php?workbook=10_02.xlsx&amp;sheet=A0&amp;row=383&amp;col=6&amp;number=&amp;sourceID=27","")</f>
        <v/>
      </c>
      <c r="G383" s="4" t="str">
        <f>HYPERLINK("http://141.218.60.56/~jnz1568/getInfo.php?workbook=10_02.xlsx&amp;sheet=A0&amp;row=383&amp;col=7&amp;number=11090&amp;sourceID=32","11090")</f>
        <v>11090</v>
      </c>
      <c r="H383" s="4" t="str">
        <f>HYPERLINK("http://141.218.60.56/~jnz1568/getInfo.php?workbook=10_02.xlsx&amp;sheet=A0&amp;row=383&amp;col=8&amp;number=&amp;sourceID=32","")</f>
        <v/>
      </c>
      <c r="I383" s="4" t="str">
        <f>HYPERLINK("http://141.218.60.56/~jnz1568/getInfo.php?workbook=10_02.xlsx&amp;sheet=A0&amp;row=383&amp;col=9&amp;number=&amp;sourceID=32","")</f>
        <v/>
      </c>
      <c r="J383" s="4" t="str">
        <f>HYPERLINK("http://141.218.60.56/~jnz1568/getInfo.php?workbook=10_02.xlsx&amp;sheet=A0&amp;row=383&amp;col=10&amp;number=2.99e-05&amp;sourceID=32","2.99e-05")</f>
        <v>2.99e-05</v>
      </c>
      <c r="K383" s="4" t="str">
        <f>HYPERLINK("http://141.218.60.56/~jnz1568/getInfo.php?workbook=10_02.xlsx&amp;sheet=A0&amp;row=383&amp;col=11&amp;number=8424.4&amp;sourceID=46","8424.4")</f>
        <v>8424.4</v>
      </c>
      <c r="L383" s="4" t="str">
        <f>HYPERLINK("http://141.218.60.56/~jnz1568/getInfo.php?workbook=10_02.xlsx&amp;sheet=A0&amp;row=383&amp;col=12&amp;number=&amp;sourceID=47","")</f>
        <v/>
      </c>
    </row>
    <row r="384" spans="1:12">
      <c r="A384" s="3">
        <v>10</v>
      </c>
      <c r="B384" s="3">
        <v>2</v>
      </c>
      <c r="C384" s="3">
        <v>31</v>
      </c>
      <c r="D384" s="3">
        <v>19</v>
      </c>
      <c r="E384" s="3">
        <f>((1/(INDEX(E0!J$4:J$52,C384,1)-INDEX(E0!J$4:J$52,D384,1))))*100000000</f>
        <v>0</v>
      </c>
      <c r="F384" s="4" t="str">
        <f>HYPERLINK("http://141.218.60.56/~jnz1568/getInfo.php?workbook=10_02.xlsx&amp;sheet=A0&amp;row=384&amp;col=6&amp;number=&amp;sourceID=27","")</f>
        <v/>
      </c>
      <c r="G384" s="4" t="str">
        <f>HYPERLINK("http://141.218.60.56/~jnz1568/getInfo.php?workbook=10_02.xlsx&amp;sheet=A0&amp;row=384&amp;col=7&amp;number=&amp;sourceID=32","")</f>
        <v/>
      </c>
      <c r="H384" s="4" t="str">
        <f>HYPERLINK("http://141.218.60.56/~jnz1568/getInfo.php?workbook=10_02.xlsx&amp;sheet=A0&amp;row=384&amp;col=8&amp;number=&amp;sourceID=32","")</f>
        <v/>
      </c>
      <c r="I384" s="4" t="str">
        <f>HYPERLINK("http://141.218.60.56/~jnz1568/getInfo.php?workbook=10_02.xlsx&amp;sheet=A0&amp;row=384&amp;col=9&amp;number=0.003854&amp;sourceID=32","0.003854")</f>
        <v>0.003854</v>
      </c>
      <c r="J384" s="4" t="str">
        <f>HYPERLINK("http://141.218.60.56/~jnz1568/getInfo.php?workbook=10_02.xlsx&amp;sheet=A0&amp;row=384&amp;col=10&amp;number=&amp;sourceID=32","")</f>
        <v/>
      </c>
      <c r="K384" s="4" t="str">
        <f>HYPERLINK("http://141.218.60.56/~jnz1568/getInfo.php?workbook=10_02.xlsx&amp;sheet=A0&amp;row=384&amp;col=11&amp;number=&amp;sourceID=46","")</f>
        <v/>
      </c>
      <c r="L384" s="4" t="str">
        <f>HYPERLINK("http://141.218.60.56/~jnz1568/getInfo.php?workbook=10_02.xlsx&amp;sheet=A0&amp;row=384&amp;col=12&amp;number=&amp;sourceID=47","")</f>
        <v/>
      </c>
    </row>
    <row r="385" spans="1:12">
      <c r="A385" s="3">
        <v>10</v>
      </c>
      <c r="B385" s="3">
        <v>2</v>
      </c>
      <c r="C385" s="3">
        <v>31</v>
      </c>
      <c r="D385" s="3">
        <v>20</v>
      </c>
      <c r="E385" s="3">
        <f>((1/(INDEX(E0!J$4:J$52,C385,1)-INDEX(E0!J$4:J$52,D385,1))))*100000000</f>
        <v>0</v>
      </c>
      <c r="F385" s="4" t="str">
        <f>HYPERLINK("http://141.218.60.56/~jnz1568/getInfo.php?workbook=10_02.xlsx&amp;sheet=A0&amp;row=385&amp;col=6&amp;number=&amp;sourceID=27","")</f>
        <v/>
      </c>
      <c r="G385" s="4" t="str">
        <f>HYPERLINK("http://141.218.60.56/~jnz1568/getInfo.php?workbook=10_02.xlsx&amp;sheet=A0&amp;row=385&amp;col=7&amp;number=&amp;sourceID=32","")</f>
        <v/>
      </c>
      <c r="H385" s="4" t="str">
        <f>HYPERLINK("http://141.218.60.56/~jnz1568/getInfo.php?workbook=10_02.xlsx&amp;sheet=A0&amp;row=385&amp;col=8&amp;number=4.572e-05&amp;sourceID=32","4.572e-05")</f>
        <v>4.572e-05</v>
      </c>
      <c r="I385" s="4" t="str">
        <f>HYPERLINK("http://141.218.60.56/~jnz1568/getInfo.php?workbook=10_02.xlsx&amp;sheet=A0&amp;row=385&amp;col=9&amp;number=0.003104&amp;sourceID=32","0.003104")</f>
        <v>0.003104</v>
      </c>
      <c r="J385" s="4" t="str">
        <f>HYPERLINK("http://141.218.60.56/~jnz1568/getInfo.php?workbook=10_02.xlsx&amp;sheet=A0&amp;row=385&amp;col=10&amp;number=&amp;sourceID=32","")</f>
        <v/>
      </c>
      <c r="K385" s="4" t="str">
        <f>HYPERLINK("http://141.218.60.56/~jnz1568/getInfo.php?workbook=10_02.xlsx&amp;sheet=A0&amp;row=385&amp;col=11&amp;number=&amp;sourceID=46","")</f>
        <v/>
      </c>
      <c r="L385" s="4" t="str">
        <f>HYPERLINK("http://141.218.60.56/~jnz1568/getInfo.php?workbook=10_02.xlsx&amp;sheet=A0&amp;row=385&amp;col=12&amp;number=&amp;sourceID=47","")</f>
        <v/>
      </c>
    </row>
    <row r="386" spans="1:12">
      <c r="A386" s="3">
        <v>10</v>
      </c>
      <c r="B386" s="3">
        <v>2</v>
      </c>
      <c r="C386" s="3">
        <v>31</v>
      </c>
      <c r="D386" s="3">
        <v>21</v>
      </c>
      <c r="E386" s="3">
        <f>((1/(INDEX(E0!J$4:J$52,C386,1)-INDEX(E0!J$4:J$52,D386,1))))*100000000</f>
        <v>0</v>
      </c>
      <c r="F386" s="4" t="str">
        <f>HYPERLINK("http://141.218.60.56/~jnz1568/getInfo.php?workbook=10_02.xlsx&amp;sheet=A0&amp;row=386&amp;col=6&amp;number=&amp;sourceID=27","")</f>
        <v/>
      </c>
      <c r="G386" s="4" t="str">
        <f>HYPERLINK("http://141.218.60.56/~jnz1568/getInfo.php?workbook=10_02.xlsx&amp;sheet=A0&amp;row=386&amp;col=7&amp;number=1274000&amp;sourceID=32","1274000")</f>
        <v>1274000</v>
      </c>
      <c r="H386" s="4" t="str">
        <f>HYPERLINK("http://141.218.60.56/~jnz1568/getInfo.php?workbook=10_02.xlsx&amp;sheet=A0&amp;row=386&amp;col=8&amp;number=&amp;sourceID=32","")</f>
        <v/>
      </c>
      <c r="I386" s="4" t="str">
        <f>HYPERLINK("http://141.218.60.56/~jnz1568/getInfo.php?workbook=10_02.xlsx&amp;sheet=A0&amp;row=386&amp;col=9&amp;number=&amp;sourceID=32","")</f>
        <v/>
      </c>
      <c r="J386" s="4" t="str">
        <f>HYPERLINK("http://141.218.60.56/~jnz1568/getInfo.php?workbook=10_02.xlsx&amp;sheet=A0&amp;row=386&amp;col=10&amp;number=&amp;sourceID=32","")</f>
        <v/>
      </c>
      <c r="K386" s="4" t="str">
        <f>HYPERLINK("http://141.218.60.56/~jnz1568/getInfo.php?workbook=10_02.xlsx&amp;sheet=A0&amp;row=386&amp;col=11&amp;number=1311600&amp;sourceID=46","1311600")</f>
        <v>1311600</v>
      </c>
      <c r="L386" s="4" t="str">
        <f>HYPERLINK("http://141.218.60.56/~jnz1568/getInfo.php?workbook=10_02.xlsx&amp;sheet=A0&amp;row=386&amp;col=12&amp;number=&amp;sourceID=47","")</f>
        <v/>
      </c>
    </row>
    <row r="387" spans="1:12">
      <c r="A387" s="3">
        <v>10</v>
      </c>
      <c r="B387" s="3">
        <v>2</v>
      </c>
      <c r="C387" s="3">
        <v>31</v>
      </c>
      <c r="D387" s="3">
        <v>22</v>
      </c>
      <c r="E387" s="3">
        <f>((1/(INDEX(E0!J$4:J$52,C387,1)-INDEX(E0!J$4:J$52,D387,1))))*100000000</f>
        <v>0</v>
      </c>
      <c r="F387" s="4" t="str">
        <f>HYPERLINK("http://141.218.60.56/~jnz1568/getInfo.php?workbook=10_02.xlsx&amp;sheet=A0&amp;row=387&amp;col=6&amp;number=&amp;sourceID=27","")</f>
        <v/>
      </c>
      <c r="G387" s="4" t="str">
        <f>HYPERLINK("http://141.218.60.56/~jnz1568/getInfo.php?workbook=10_02.xlsx&amp;sheet=A0&amp;row=387&amp;col=7&amp;number=&amp;sourceID=32","")</f>
        <v/>
      </c>
      <c r="H387" s="4" t="str">
        <f>HYPERLINK("http://141.218.60.56/~jnz1568/getInfo.php?workbook=10_02.xlsx&amp;sheet=A0&amp;row=387&amp;col=8&amp;number=1.315e-05&amp;sourceID=32","1.315e-05")</f>
        <v>1.315e-05</v>
      </c>
      <c r="I387" s="4" t="str">
        <f>HYPERLINK("http://141.218.60.56/~jnz1568/getInfo.php?workbook=10_02.xlsx&amp;sheet=A0&amp;row=387&amp;col=9&amp;number=0.003259&amp;sourceID=32","0.003259")</f>
        <v>0.003259</v>
      </c>
      <c r="J387" s="4" t="str">
        <f>HYPERLINK("http://141.218.60.56/~jnz1568/getInfo.php?workbook=10_02.xlsx&amp;sheet=A0&amp;row=387&amp;col=10&amp;number=&amp;sourceID=32","")</f>
        <v/>
      </c>
      <c r="K387" s="4" t="str">
        <f>HYPERLINK("http://141.218.60.56/~jnz1568/getInfo.php?workbook=10_02.xlsx&amp;sheet=A0&amp;row=387&amp;col=11&amp;number=&amp;sourceID=46","")</f>
        <v/>
      </c>
      <c r="L387" s="4" t="str">
        <f>HYPERLINK("http://141.218.60.56/~jnz1568/getInfo.php?workbook=10_02.xlsx&amp;sheet=A0&amp;row=387&amp;col=12&amp;number=&amp;sourceID=47","")</f>
        <v/>
      </c>
    </row>
    <row r="388" spans="1:12">
      <c r="A388" s="3">
        <v>10</v>
      </c>
      <c r="B388" s="3">
        <v>2</v>
      </c>
      <c r="C388" s="3">
        <v>31</v>
      </c>
      <c r="D388" s="3">
        <v>23</v>
      </c>
      <c r="E388" s="3">
        <f>((1/(INDEX(E0!J$4:J$52,C388,1)-INDEX(E0!J$4:J$52,D388,1))))*100000000</f>
        <v>0</v>
      </c>
      <c r="F388" s="4" t="str">
        <f>HYPERLINK("http://141.218.60.56/~jnz1568/getInfo.php?workbook=10_02.xlsx&amp;sheet=A0&amp;row=388&amp;col=6&amp;number=&amp;sourceID=27","")</f>
        <v/>
      </c>
      <c r="G388" s="4" t="str">
        <f>HYPERLINK("http://141.218.60.56/~jnz1568/getInfo.php?workbook=10_02.xlsx&amp;sheet=A0&amp;row=388&amp;col=7&amp;number=5.562&amp;sourceID=32","5.562")</f>
        <v>5.562</v>
      </c>
      <c r="H388" s="4" t="str">
        <f>HYPERLINK("http://141.218.60.56/~jnz1568/getInfo.php?workbook=10_02.xlsx&amp;sheet=A0&amp;row=388&amp;col=8&amp;number=&amp;sourceID=32","")</f>
        <v/>
      </c>
      <c r="I388" s="4" t="str">
        <f>HYPERLINK("http://141.218.60.56/~jnz1568/getInfo.php?workbook=10_02.xlsx&amp;sheet=A0&amp;row=388&amp;col=9&amp;number=&amp;sourceID=32","")</f>
        <v/>
      </c>
      <c r="J388" s="4" t="str">
        <f>HYPERLINK("http://141.218.60.56/~jnz1568/getInfo.php?workbook=10_02.xlsx&amp;sheet=A0&amp;row=388&amp;col=10&amp;number=6.179e-12&amp;sourceID=32","6.179e-12")</f>
        <v>6.179e-12</v>
      </c>
      <c r="K388" s="4" t="str">
        <f>HYPERLINK("http://141.218.60.56/~jnz1568/getInfo.php?workbook=10_02.xlsx&amp;sheet=A0&amp;row=388&amp;col=11&amp;number=7.6972&amp;sourceID=46","7.6972")</f>
        <v>7.6972</v>
      </c>
      <c r="L388" s="4" t="str">
        <f>HYPERLINK("http://141.218.60.56/~jnz1568/getInfo.php?workbook=10_02.xlsx&amp;sheet=A0&amp;row=388&amp;col=12&amp;number=&amp;sourceID=47","")</f>
        <v/>
      </c>
    </row>
    <row r="389" spans="1:12">
      <c r="A389" s="3">
        <v>10</v>
      </c>
      <c r="B389" s="3">
        <v>2</v>
      </c>
      <c r="C389" s="3">
        <v>31</v>
      </c>
      <c r="D389" s="3">
        <v>24</v>
      </c>
      <c r="E389" s="3">
        <f>((1/(INDEX(E0!J$4:J$52,C389,1)-INDEX(E0!J$4:J$52,D389,1))))*100000000</f>
        <v>0</v>
      </c>
      <c r="F389" s="4" t="str">
        <f>HYPERLINK("http://141.218.60.56/~jnz1568/getInfo.php?workbook=10_02.xlsx&amp;sheet=A0&amp;row=389&amp;col=6&amp;number=&amp;sourceID=27","")</f>
        <v/>
      </c>
      <c r="G389" s="4" t="str">
        <f>HYPERLINK("http://141.218.60.56/~jnz1568/getInfo.php?workbook=10_02.xlsx&amp;sheet=A0&amp;row=389&amp;col=7&amp;number=673.2&amp;sourceID=32","673.2")</f>
        <v>673.2</v>
      </c>
      <c r="H389" s="4" t="str">
        <f>HYPERLINK("http://141.218.60.56/~jnz1568/getInfo.php?workbook=10_02.xlsx&amp;sheet=A0&amp;row=389&amp;col=8&amp;number=&amp;sourceID=32","")</f>
        <v/>
      </c>
      <c r="I389" s="4" t="str">
        <f>HYPERLINK("http://141.218.60.56/~jnz1568/getInfo.php?workbook=10_02.xlsx&amp;sheet=A0&amp;row=389&amp;col=9&amp;number=&amp;sourceID=32","")</f>
        <v/>
      </c>
      <c r="J389" s="4" t="str">
        <f>HYPERLINK("http://141.218.60.56/~jnz1568/getInfo.php?workbook=10_02.xlsx&amp;sheet=A0&amp;row=389&amp;col=10&amp;number=5.51e-11&amp;sourceID=32","5.51e-11")</f>
        <v>5.51e-11</v>
      </c>
      <c r="K389" s="4" t="str">
        <f>HYPERLINK("http://141.218.60.56/~jnz1568/getInfo.php?workbook=10_02.xlsx&amp;sheet=A0&amp;row=389&amp;col=11&amp;number=851.12&amp;sourceID=46","851.12")</f>
        <v>851.12</v>
      </c>
      <c r="L389" s="4" t="str">
        <f>HYPERLINK("http://141.218.60.56/~jnz1568/getInfo.php?workbook=10_02.xlsx&amp;sheet=A0&amp;row=389&amp;col=12&amp;number=&amp;sourceID=47","")</f>
        <v/>
      </c>
    </row>
    <row r="390" spans="1:12">
      <c r="A390" s="3">
        <v>10</v>
      </c>
      <c r="B390" s="3">
        <v>2</v>
      </c>
      <c r="C390" s="3">
        <v>31</v>
      </c>
      <c r="D390" s="3">
        <v>25</v>
      </c>
      <c r="E390" s="3">
        <f>((1/(INDEX(E0!J$4:J$52,C390,1)-INDEX(E0!J$4:J$52,D390,1))))*100000000</f>
        <v>0</v>
      </c>
      <c r="F390" s="4" t="str">
        <f>HYPERLINK("http://141.218.60.56/~jnz1568/getInfo.php?workbook=10_02.xlsx&amp;sheet=A0&amp;row=390&amp;col=6&amp;number=&amp;sourceID=27","")</f>
        <v/>
      </c>
      <c r="G390" s="4" t="str">
        <f>HYPERLINK("http://141.218.60.56/~jnz1568/getInfo.php?workbook=10_02.xlsx&amp;sheet=A0&amp;row=390&amp;col=7&amp;number=&amp;sourceID=32","")</f>
        <v/>
      </c>
      <c r="H390" s="4" t="str">
        <f>HYPERLINK("http://141.218.60.56/~jnz1568/getInfo.php?workbook=10_02.xlsx&amp;sheet=A0&amp;row=390&amp;col=8&amp;number=&amp;sourceID=32","")</f>
        <v/>
      </c>
      <c r="I390" s="4" t="str">
        <f>HYPERLINK("http://141.218.60.56/~jnz1568/getInfo.php?workbook=10_02.xlsx&amp;sheet=A0&amp;row=390&amp;col=9&amp;number=&amp;sourceID=32","")</f>
        <v/>
      </c>
      <c r="J390" s="4" t="str">
        <f>HYPERLINK("http://141.218.60.56/~jnz1568/getInfo.php?workbook=10_02.xlsx&amp;sheet=A0&amp;row=390&amp;col=10&amp;number=4.418e-10&amp;sourceID=32","4.418e-10")</f>
        <v>4.418e-10</v>
      </c>
      <c r="K390" s="4" t="str">
        <f>HYPERLINK("http://141.218.60.56/~jnz1568/getInfo.php?workbook=10_02.xlsx&amp;sheet=A0&amp;row=390&amp;col=11&amp;number=&amp;sourceID=46","")</f>
        <v/>
      </c>
      <c r="L390" s="4" t="str">
        <f>HYPERLINK("http://141.218.60.56/~jnz1568/getInfo.php?workbook=10_02.xlsx&amp;sheet=A0&amp;row=390&amp;col=12&amp;number=&amp;sourceID=47","")</f>
        <v/>
      </c>
    </row>
    <row r="391" spans="1:12">
      <c r="A391" s="3">
        <v>10</v>
      </c>
      <c r="B391" s="3">
        <v>2</v>
      </c>
      <c r="C391" s="3">
        <v>31</v>
      </c>
      <c r="D391" s="3">
        <v>26</v>
      </c>
      <c r="E391" s="3">
        <f>((1/(INDEX(E0!J$4:J$52,C391,1)-INDEX(E0!J$4:J$52,D391,1))))*100000000</f>
        <v>0</v>
      </c>
      <c r="F391" s="4" t="str">
        <f>HYPERLINK("http://141.218.60.56/~jnz1568/getInfo.php?workbook=10_02.xlsx&amp;sheet=A0&amp;row=391&amp;col=6&amp;number=&amp;sourceID=27","")</f>
        <v/>
      </c>
      <c r="G391" s="4" t="str">
        <f>HYPERLINK("http://141.218.60.56/~jnz1568/getInfo.php?workbook=10_02.xlsx&amp;sheet=A0&amp;row=391&amp;col=7&amp;number=&amp;sourceID=32","")</f>
        <v/>
      </c>
      <c r="H391" s="4" t="str">
        <f>HYPERLINK("http://141.218.60.56/~jnz1568/getInfo.php?workbook=10_02.xlsx&amp;sheet=A0&amp;row=391&amp;col=8&amp;number=2.086e-06&amp;sourceID=32","2.086e-06")</f>
        <v>2.086e-06</v>
      </c>
      <c r="I391" s="4" t="str">
        <f>HYPERLINK("http://141.218.60.56/~jnz1568/getInfo.php?workbook=10_02.xlsx&amp;sheet=A0&amp;row=391&amp;col=9&amp;number=&amp;sourceID=32","")</f>
        <v/>
      </c>
      <c r="J391" s="4" t="str">
        <f>HYPERLINK("http://141.218.60.56/~jnz1568/getInfo.php?workbook=10_02.xlsx&amp;sheet=A0&amp;row=391&amp;col=10&amp;number=&amp;sourceID=32","")</f>
        <v/>
      </c>
      <c r="K391" s="4" t="str">
        <f>HYPERLINK("http://141.218.60.56/~jnz1568/getInfo.php?workbook=10_02.xlsx&amp;sheet=A0&amp;row=391&amp;col=11&amp;number=&amp;sourceID=46","")</f>
        <v/>
      </c>
      <c r="L391" s="4" t="str">
        <f>HYPERLINK("http://141.218.60.56/~jnz1568/getInfo.php?workbook=10_02.xlsx&amp;sheet=A0&amp;row=391&amp;col=12&amp;number=&amp;sourceID=47","")</f>
        <v/>
      </c>
    </row>
    <row r="392" spans="1:12">
      <c r="A392" s="3">
        <v>10</v>
      </c>
      <c r="B392" s="3">
        <v>2</v>
      </c>
      <c r="C392" s="3">
        <v>31</v>
      </c>
      <c r="D392" s="3">
        <v>27</v>
      </c>
      <c r="E392" s="3">
        <f>((1/(INDEX(E0!J$4:J$52,C392,1)-INDEX(E0!J$4:J$52,D392,1))))*100000000</f>
        <v>0</v>
      </c>
      <c r="F392" s="4" t="str">
        <f>HYPERLINK("http://141.218.60.56/~jnz1568/getInfo.php?workbook=10_02.xlsx&amp;sheet=A0&amp;row=392&amp;col=6&amp;number=&amp;sourceID=27","")</f>
        <v/>
      </c>
      <c r="G392" s="4" t="str">
        <f>HYPERLINK("http://141.218.60.56/~jnz1568/getInfo.php?workbook=10_02.xlsx&amp;sheet=A0&amp;row=392&amp;col=7&amp;number=&amp;sourceID=32","")</f>
        <v/>
      </c>
      <c r="H392" s="4" t="str">
        <f>HYPERLINK("http://141.218.60.56/~jnz1568/getInfo.php?workbook=10_02.xlsx&amp;sheet=A0&amp;row=392&amp;col=8&amp;number=1.153e-09&amp;sourceID=32","1.153e-09")</f>
        <v>1.153e-09</v>
      </c>
      <c r="I392" s="4" t="str">
        <f>HYPERLINK("http://141.218.60.56/~jnz1568/getInfo.php?workbook=10_02.xlsx&amp;sheet=A0&amp;row=392&amp;col=9&amp;number=6.223e-12&amp;sourceID=32","6.223e-12")</f>
        <v>6.223e-12</v>
      </c>
      <c r="J392" s="4" t="str">
        <f>HYPERLINK("http://141.218.60.56/~jnz1568/getInfo.php?workbook=10_02.xlsx&amp;sheet=A0&amp;row=392&amp;col=10&amp;number=&amp;sourceID=32","")</f>
        <v/>
      </c>
      <c r="K392" s="4" t="str">
        <f>HYPERLINK("http://141.218.60.56/~jnz1568/getInfo.php?workbook=10_02.xlsx&amp;sheet=A0&amp;row=392&amp;col=11&amp;number=&amp;sourceID=46","")</f>
        <v/>
      </c>
      <c r="L392" s="4" t="str">
        <f>HYPERLINK("http://141.218.60.56/~jnz1568/getInfo.php?workbook=10_02.xlsx&amp;sheet=A0&amp;row=392&amp;col=12&amp;number=&amp;sourceID=47","")</f>
        <v/>
      </c>
    </row>
    <row r="393" spans="1:12">
      <c r="A393" s="3">
        <v>10</v>
      </c>
      <c r="B393" s="3">
        <v>2</v>
      </c>
      <c r="C393" s="3">
        <v>31</v>
      </c>
      <c r="D393" s="3">
        <v>29</v>
      </c>
      <c r="E393" s="3">
        <f>((1/(INDEX(E0!J$4:J$52,C393,1)-INDEX(E0!J$4:J$52,D393,1))))*100000000</f>
        <v>0</v>
      </c>
      <c r="F393" s="4" t="str">
        <f>HYPERLINK("http://141.218.60.56/~jnz1568/getInfo.php?workbook=10_02.xlsx&amp;sheet=A0&amp;row=393&amp;col=6&amp;number=&amp;sourceID=27","")</f>
        <v/>
      </c>
      <c r="G393" s="4" t="str">
        <f>HYPERLINK("http://141.218.60.56/~jnz1568/getInfo.php?workbook=10_02.xlsx&amp;sheet=A0&amp;row=393&amp;col=7&amp;number=15130&amp;sourceID=32","15130")</f>
        <v>15130</v>
      </c>
      <c r="H393" s="4" t="str">
        <f>HYPERLINK("http://141.218.60.56/~jnz1568/getInfo.php?workbook=10_02.xlsx&amp;sheet=A0&amp;row=393&amp;col=8&amp;number=&amp;sourceID=32","")</f>
        <v/>
      </c>
      <c r="I393" s="4" t="str">
        <f>HYPERLINK("http://141.218.60.56/~jnz1568/getInfo.php?workbook=10_02.xlsx&amp;sheet=A0&amp;row=393&amp;col=9&amp;number=&amp;sourceID=32","")</f>
        <v/>
      </c>
      <c r="J393" s="4" t="str">
        <f>HYPERLINK("http://141.218.60.56/~jnz1568/getInfo.php?workbook=10_02.xlsx&amp;sheet=A0&amp;row=393&amp;col=10&amp;number=9.509e-11&amp;sourceID=32","9.509e-11")</f>
        <v>9.509e-11</v>
      </c>
      <c r="K393" s="4" t="str">
        <f>HYPERLINK("http://141.218.60.56/~jnz1568/getInfo.php?workbook=10_02.xlsx&amp;sheet=A0&amp;row=393&amp;col=11&amp;number=31080&amp;sourceID=46","31080")</f>
        <v>31080</v>
      </c>
      <c r="L393" s="4" t="str">
        <f>HYPERLINK("http://141.218.60.56/~jnz1568/getInfo.php?workbook=10_02.xlsx&amp;sheet=A0&amp;row=393&amp;col=12&amp;number=&amp;sourceID=47","")</f>
        <v/>
      </c>
    </row>
    <row r="394" spans="1:12">
      <c r="A394" s="3">
        <v>10</v>
      </c>
      <c r="B394" s="3">
        <v>2</v>
      </c>
      <c r="C394" s="3">
        <v>32</v>
      </c>
      <c r="D394" s="3">
        <v>1</v>
      </c>
      <c r="E394" s="3">
        <f>((1/(INDEX(E0!J$4:J$52,C394,1)-INDEX(E0!J$4:J$52,D394,1))))*100000000</f>
        <v>0</v>
      </c>
      <c r="F394" s="4" t="str">
        <f>HYPERLINK("http://141.218.60.56/~jnz1568/getInfo.php?workbook=10_02.xlsx&amp;sheet=A0&amp;row=394&amp;col=6&amp;number=&amp;sourceID=27","")</f>
        <v/>
      </c>
      <c r="G394" s="4" t="str">
        <f>HYPERLINK("http://141.218.60.56/~jnz1568/getInfo.php?workbook=10_02.xlsx&amp;sheet=A0&amp;row=394&amp;col=7&amp;number=&amp;sourceID=32","")</f>
        <v/>
      </c>
      <c r="H394" s="4" t="str">
        <f>HYPERLINK("http://141.218.60.56/~jnz1568/getInfo.php?workbook=10_02.xlsx&amp;sheet=A0&amp;row=394&amp;col=8&amp;number=&amp;sourceID=32","")</f>
        <v/>
      </c>
      <c r="I394" s="4" t="str">
        <f>HYPERLINK("http://141.218.60.56/~jnz1568/getInfo.php?workbook=10_02.xlsx&amp;sheet=A0&amp;row=394&amp;col=9&amp;number=1154&amp;sourceID=32","1154")</f>
        <v>1154</v>
      </c>
      <c r="J394" s="4" t="str">
        <f>HYPERLINK("http://141.218.60.56/~jnz1568/getInfo.php?workbook=10_02.xlsx&amp;sheet=A0&amp;row=394&amp;col=10&amp;number=&amp;sourceID=32","")</f>
        <v/>
      </c>
      <c r="K394" s="4" t="str">
        <f>HYPERLINK("http://141.218.60.56/~jnz1568/getInfo.php?workbook=10_02.xlsx&amp;sheet=A0&amp;row=394&amp;col=11&amp;number=973.15&amp;sourceID=46","973.15")</f>
        <v>973.15</v>
      </c>
      <c r="L394" s="4" t="str">
        <f>HYPERLINK("http://141.218.60.56/~jnz1568/getInfo.php?workbook=10_02.xlsx&amp;sheet=A0&amp;row=394&amp;col=12&amp;number=&amp;sourceID=47","")</f>
        <v/>
      </c>
    </row>
    <row r="395" spans="1:12">
      <c r="A395" s="3">
        <v>10</v>
      </c>
      <c r="B395" s="3">
        <v>2</v>
      </c>
      <c r="C395" s="3">
        <v>32</v>
      </c>
      <c r="D395" s="3">
        <v>2</v>
      </c>
      <c r="E395" s="3">
        <f>((1/(INDEX(E0!J$4:J$52,C395,1)-INDEX(E0!J$4:J$52,D395,1))))*100000000</f>
        <v>0</v>
      </c>
      <c r="F395" s="4" t="str">
        <f>HYPERLINK("http://141.218.60.56/~jnz1568/getInfo.php?workbook=10_02.xlsx&amp;sheet=A0&amp;row=395&amp;col=6&amp;number=&amp;sourceID=27","")</f>
        <v/>
      </c>
      <c r="G395" s="4" t="str">
        <f>HYPERLINK("http://141.218.60.56/~jnz1568/getInfo.php?workbook=10_02.xlsx&amp;sheet=A0&amp;row=395&amp;col=7&amp;number=&amp;sourceID=32","")</f>
        <v/>
      </c>
      <c r="H395" s="4" t="str">
        <f>HYPERLINK("http://141.218.60.56/~jnz1568/getInfo.php?workbook=10_02.xlsx&amp;sheet=A0&amp;row=395&amp;col=8&amp;number=0.03652&amp;sourceID=32","0.03652")</f>
        <v>0.03652</v>
      </c>
      <c r="I395" s="4" t="str">
        <f>HYPERLINK("http://141.218.60.56/~jnz1568/getInfo.php?workbook=10_02.xlsx&amp;sheet=A0&amp;row=395&amp;col=9&amp;number=3.084&amp;sourceID=32","3.084")</f>
        <v>3.084</v>
      </c>
      <c r="J395" s="4" t="str">
        <f>HYPERLINK("http://141.218.60.56/~jnz1568/getInfo.php?workbook=10_02.xlsx&amp;sheet=A0&amp;row=395&amp;col=10&amp;number=&amp;sourceID=32","")</f>
        <v/>
      </c>
      <c r="K395" s="4" t="str">
        <f>HYPERLINK("http://141.218.60.56/~jnz1568/getInfo.php?workbook=10_02.xlsx&amp;sheet=A0&amp;row=395&amp;col=11&amp;number=3.7333&amp;sourceID=46","3.7333")</f>
        <v>3.7333</v>
      </c>
      <c r="L395" s="4" t="str">
        <f>HYPERLINK("http://141.218.60.56/~jnz1568/getInfo.php?workbook=10_02.xlsx&amp;sheet=A0&amp;row=395&amp;col=12&amp;number=&amp;sourceID=47","")</f>
        <v/>
      </c>
    </row>
    <row r="396" spans="1:12">
      <c r="A396" s="3">
        <v>10</v>
      </c>
      <c r="B396" s="3">
        <v>2</v>
      </c>
      <c r="C396" s="3">
        <v>32</v>
      </c>
      <c r="D396" s="3">
        <v>3</v>
      </c>
      <c r="E396" s="3">
        <f>((1/(INDEX(E0!J$4:J$52,C396,1)-INDEX(E0!J$4:J$52,D396,1))))*100000000</f>
        <v>0</v>
      </c>
      <c r="F396" s="4" t="str">
        <f>HYPERLINK("http://141.218.60.56/~jnz1568/getInfo.php?workbook=10_02.xlsx&amp;sheet=A0&amp;row=396&amp;col=6&amp;number=&amp;sourceID=27","")</f>
        <v/>
      </c>
      <c r="G396" s="4" t="str">
        <f>HYPERLINK("http://141.218.60.56/~jnz1568/getInfo.php?workbook=10_02.xlsx&amp;sheet=A0&amp;row=396&amp;col=7&amp;number=1250000000&amp;sourceID=32","1250000000")</f>
        <v>1250000000</v>
      </c>
      <c r="H396" s="4" t="str">
        <f>HYPERLINK("http://141.218.60.56/~jnz1568/getInfo.php?workbook=10_02.xlsx&amp;sheet=A0&amp;row=396&amp;col=8&amp;number=&amp;sourceID=32","")</f>
        <v/>
      </c>
      <c r="I396" s="4" t="str">
        <f>HYPERLINK("http://141.218.60.56/~jnz1568/getInfo.php?workbook=10_02.xlsx&amp;sheet=A0&amp;row=396&amp;col=9&amp;number=&amp;sourceID=32","")</f>
        <v/>
      </c>
      <c r="J396" s="4" t="str">
        <f>HYPERLINK("http://141.218.60.56/~jnz1568/getInfo.php?workbook=10_02.xlsx&amp;sheet=A0&amp;row=396&amp;col=10&amp;number=&amp;sourceID=32","")</f>
        <v/>
      </c>
      <c r="K396" s="4" t="str">
        <f>HYPERLINK("http://141.218.60.56/~jnz1568/getInfo.php?workbook=10_02.xlsx&amp;sheet=A0&amp;row=396&amp;col=11&amp;number=1140300000&amp;sourceID=46","1140300000")</f>
        <v>1140300000</v>
      </c>
      <c r="L396" s="4" t="str">
        <f>HYPERLINK("http://141.218.60.56/~jnz1568/getInfo.php?workbook=10_02.xlsx&amp;sheet=A0&amp;row=396&amp;col=12&amp;number=&amp;sourceID=47","")</f>
        <v/>
      </c>
    </row>
    <row r="397" spans="1:12">
      <c r="A397" s="3">
        <v>10</v>
      </c>
      <c r="B397" s="3">
        <v>2</v>
      </c>
      <c r="C397" s="3">
        <v>32</v>
      </c>
      <c r="D397" s="3">
        <v>4</v>
      </c>
      <c r="E397" s="3">
        <f>((1/(INDEX(E0!J$4:J$52,C397,1)-INDEX(E0!J$4:J$52,D397,1))))*100000000</f>
        <v>0</v>
      </c>
      <c r="F397" s="4" t="str">
        <f>HYPERLINK("http://141.218.60.56/~jnz1568/getInfo.php?workbook=10_02.xlsx&amp;sheet=A0&amp;row=397&amp;col=6&amp;number=&amp;sourceID=27","")</f>
        <v/>
      </c>
      <c r="G397" s="4" t="str">
        <f>HYPERLINK("http://141.218.60.56/~jnz1568/getInfo.php?workbook=10_02.xlsx&amp;sheet=A0&amp;row=397&amp;col=7&amp;number=3732000000&amp;sourceID=32","3732000000")</f>
        <v>3732000000</v>
      </c>
      <c r="H397" s="4" t="str">
        <f>HYPERLINK("http://141.218.60.56/~jnz1568/getInfo.php?workbook=10_02.xlsx&amp;sheet=A0&amp;row=397&amp;col=8&amp;number=&amp;sourceID=32","")</f>
        <v/>
      </c>
      <c r="I397" s="4" t="str">
        <f>HYPERLINK("http://141.218.60.56/~jnz1568/getInfo.php?workbook=10_02.xlsx&amp;sheet=A0&amp;row=397&amp;col=9&amp;number=&amp;sourceID=32","")</f>
        <v/>
      </c>
      <c r="J397" s="4" t="str">
        <f>HYPERLINK("http://141.218.60.56/~jnz1568/getInfo.php?workbook=10_02.xlsx&amp;sheet=A0&amp;row=397&amp;col=10&amp;number=46.55&amp;sourceID=32","46.55")</f>
        <v>46.55</v>
      </c>
      <c r="K397" s="4" t="str">
        <f>HYPERLINK("http://141.218.60.56/~jnz1568/getInfo.php?workbook=10_02.xlsx&amp;sheet=A0&amp;row=397&amp;col=11&amp;number=3307600000&amp;sourceID=46","3307600000")</f>
        <v>3307600000</v>
      </c>
      <c r="L397" s="4" t="str">
        <f>HYPERLINK("http://141.218.60.56/~jnz1568/getInfo.php?workbook=10_02.xlsx&amp;sheet=A0&amp;row=397&amp;col=12&amp;number=&amp;sourceID=47","")</f>
        <v/>
      </c>
    </row>
    <row r="398" spans="1:12">
      <c r="A398" s="3">
        <v>10</v>
      </c>
      <c r="B398" s="3">
        <v>2</v>
      </c>
      <c r="C398" s="3">
        <v>32</v>
      </c>
      <c r="D398" s="3">
        <v>5</v>
      </c>
      <c r="E398" s="3">
        <f>((1/(INDEX(E0!J$4:J$52,C398,1)-INDEX(E0!J$4:J$52,D398,1))))*100000000</f>
        <v>0</v>
      </c>
      <c r="F398" s="4" t="str">
        <f>HYPERLINK("http://141.218.60.56/~jnz1568/getInfo.php?workbook=10_02.xlsx&amp;sheet=A0&amp;row=398&amp;col=6&amp;number=&amp;sourceID=27","")</f>
        <v/>
      </c>
      <c r="G398" s="4" t="str">
        <f>HYPERLINK("http://141.218.60.56/~jnz1568/getInfo.php?workbook=10_02.xlsx&amp;sheet=A0&amp;row=398&amp;col=7&amp;number=6260000000&amp;sourceID=32","6260000000")</f>
        <v>6260000000</v>
      </c>
      <c r="H398" s="4" t="str">
        <f>HYPERLINK("http://141.218.60.56/~jnz1568/getInfo.php?workbook=10_02.xlsx&amp;sheet=A0&amp;row=398&amp;col=8&amp;number=&amp;sourceID=32","")</f>
        <v/>
      </c>
      <c r="I398" s="4" t="str">
        <f>HYPERLINK("http://141.218.60.56/~jnz1568/getInfo.php?workbook=10_02.xlsx&amp;sheet=A0&amp;row=398&amp;col=9&amp;number=&amp;sourceID=32","")</f>
        <v/>
      </c>
      <c r="J398" s="4" t="str">
        <f>HYPERLINK("http://141.218.60.56/~jnz1568/getInfo.php?workbook=10_02.xlsx&amp;sheet=A0&amp;row=398&amp;col=10&amp;number=150.1&amp;sourceID=32","150.1")</f>
        <v>150.1</v>
      </c>
      <c r="K398" s="4" t="str">
        <f>HYPERLINK("http://141.218.60.56/~jnz1568/getInfo.php?workbook=10_02.xlsx&amp;sheet=A0&amp;row=398&amp;col=11&amp;number=5241200000&amp;sourceID=46","5241200000")</f>
        <v>5241200000</v>
      </c>
      <c r="L398" s="4" t="str">
        <f>HYPERLINK("http://141.218.60.56/~jnz1568/getInfo.php?workbook=10_02.xlsx&amp;sheet=A0&amp;row=398&amp;col=12&amp;number=&amp;sourceID=47","")</f>
        <v/>
      </c>
    </row>
    <row r="399" spans="1:12">
      <c r="A399" s="3">
        <v>10</v>
      </c>
      <c r="B399" s="3">
        <v>2</v>
      </c>
      <c r="C399" s="3">
        <v>32</v>
      </c>
      <c r="D399" s="3">
        <v>6</v>
      </c>
      <c r="E399" s="3">
        <f>((1/(INDEX(E0!J$4:J$52,C399,1)-INDEX(E0!J$4:J$52,D399,1))))*100000000</f>
        <v>0</v>
      </c>
      <c r="F399" s="4" t="str">
        <f>HYPERLINK("http://141.218.60.56/~jnz1568/getInfo.php?workbook=10_02.xlsx&amp;sheet=A0&amp;row=399&amp;col=6&amp;number=&amp;sourceID=27","")</f>
        <v/>
      </c>
      <c r="G399" s="4" t="str">
        <f>HYPERLINK("http://141.218.60.56/~jnz1568/getInfo.php?workbook=10_02.xlsx&amp;sheet=A0&amp;row=399&amp;col=7&amp;number=&amp;sourceID=32","")</f>
        <v/>
      </c>
      <c r="H399" s="4" t="str">
        <f>HYPERLINK("http://141.218.60.56/~jnz1568/getInfo.php?workbook=10_02.xlsx&amp;sheet=A0&amp;row=399&amp;col=8&amp;number=&amp;sourceID=32","")</f>
        <v/>
      </c>
      <c r="I399" s="4" t="str">
        <f>HYPERLINK("http://141.218.60.56/~jnz1568/getInfo.php?workbook=10_02.xlsx&amp;sheet=A0&amp;row=399&amp;col=9&amp;number=1.993&amp;sourceID=32","1.993")</f>
        <v>1.993</v>
      </c>
      <c r="J399" s="4" t="str">
        <f>HYPERLINK("http://141.218.60.56/~jnz1568/getInfo.php?workbook=10_02.xlsx&amp;sheet=A0&amp;row=399&amp;col=10&amp;number=&amp;sourceID=32","")</f>
        <v/>
      </c>
      <c r="K399" s="4" t="str">
        <f>HYPERLINK("http://141.218.60.56/~jnz1568/getInfo.php?workbook=10_02.xlsx&amp;sheet=A0&amp;row=399&amp;col=11&amp;number=1.6078&amp;sourceID=46","1.6078")</f>
        <v>1.6078</v>
      </c>
      <c r="L399" s="4" t="str">
        <f>HYPERLINK("http://141.218.60.56/~jnz1568/getInfo.php?workbook=10_02.xlsx&amp;sheet=A0&amp;row=399&amp;col=12&amp;number=&amp;sourceID=47","")</f>
        <v/>
      </c>
    </row>
    <row r="400" spans="1:12">
      <c r="A400" s="3">
        <v>10</v>
      </c>
      <c r="B400" s="3">
        <v>2</v>
      </c>
      <c r="C400" s="3">
        <v>32</v>
      </c>
      <c r="D400" s="3">
        <v>7</v>
      </c>
      <c r="E400" s="3">
        <f>((1/(INDEX(E0!J$4:J$52,C400,1)-INDEX(E0!J$4:J$52,D400,1))))*100000000</f>
        <v>0</v>
      </c>
      <c r="F400" s="4" t="str">
        <f>HYPERLINK("http://141.218.60.56/~jnz1568/getInfo.php?workbook=10_02.xlsx&amp;sheet=A0&amp;row=400&amp;col=6&amp;number=&amp;sourceID=27","")</f>
        <v/>
      </c>
      <c r="G400" s="4" t="str">
        <f>HYPERLINK("http://141.218.60.56/~jnz1568/getInfo.php?workbook=10_02.xlsx&amp;sheet=A0&amp;row=400&amp;col=7&amp;number=2456000&amp;sourceID=32","2456000")</f>
        <v>2456000</v>
      </c>
      <c r="H400" s="4" t="str">
        <f>HYPERLINK("http://141.218.60.56/~jnz1568/getInfo.php?workbook=10_02.xlsx&amp;sheet=A0&amp;row=400&amp;col=8&amp;number=&amp;sourceID=32","")</f>
        <v/>
      </c>
      <c r="I400" s="4" t="str">
        <f>HYPERLINK("http://141.218.60.56/~jnz1568/getInfo.php?workbook=10_02.xlsx&amp;sheet=A0&amp;row=400&amp;col=9&amp;number=&amp;sourceID=32","")</f>
        <v/>
      </c>
      <c r="J400" s="4" t="str">
        <f>HYPERLINK("http://141.218.60.56/~jnz1568/getInfo.php?workbook=10_02.xlsx&amp;sheet=A0&amp;row=400&amp;col=10&amp;number=112&amp;sourceID=32","112")</f>
        <v>112</v>
      </c>
      <c r="K400" s="4" t="str">
        <f>HYPERLINK("http://141.218.60.56/~jnz1568/getInfo.php?workbook=10_02.xlsx&amp;sheet=A0&amp;row=400&amp;col=11&amp;number=60386&amp;sourceID=46","60386")</f>
        <v>60386</v>
      </c>
      <c r="L400" s="4" t="str">
        <f>HYPERLINK("http://141.218.60.56/~jnz1568/getInfo.php?workbook=10_02.xlsx&amp;sheet=A0&amp;row=400&amp;col=12&amp;number=&amp;sourceID=47","")</f>
        <v/>
      </c>
    </row>
    <row r="401" spans="1:12">
      <c r="A401" s="3">
        <v>10</v>
      </c>
      <c r="B401" s="3">
        <v>2</v>
      </c>
      <c r="C401" s="3">
        <v>32</v>
      </c>
      <c r="D401" s="3">
        <v>8</v>
      </c>
      <c r="E401" s="3">
        <f>((1/(INDEX(E0!J$4:J$52,C401,1)-INDEX(E0!J$4:J$52,D401,1))))*100000000</f>
        <v>0</v>
      </c>
      <c r="F401" s="4" t="str">
        <f>HYPERLINK("http://141.218.60.56/~jnz1568/getInfo.php?workbook=10_02.xlsx&amp;sheet=A0&amp;row=401&amp;col=6&amp;number=&amp;sourceID=27","")</f>
        <v/>
      </c>
      <c r="G401" s="4" t="str">
        <f>HYPERLINK("http://141.218.60.56/~jnz1568/getInfo.php?workbook=10_02.xlsx&amp;sheet=A0&amp;row=401&amp;col=7&amp;number=&amp;sourceID=32","")</f>
        <v/>
      </c>
      <c r="H401" s="4" t="str">
        <f>HYPERLINK("http://141.218.60.56/~jnz1568/getInfo.php?workbook=10_02.xlsx&amp;sheet=A0&amp;row=401&amp;col=8&amp;number=0.08514&amp;sourceID=32","0.08514")</f>
        <v>0.08514</v>
      </c>
      <c r="I401" s="4" t="str">
        <f>HYPERLINK("http://141.218.60.56/~jnz1568/getInfo.php?workbook=10_02.xlsx&amp;sheet=A0&amp;row=401&amp;col=9&amp;number=0.067&amp;sourceID=32","0.067")</f>
        <v>0.067</v>
      </c>
      <c r="J401" s="4" t="str">
        <f>HYPERLINK("http://141.218.60.56/~jnz1568/getInfo.php?workbook=10_02.xlsx&amp;sheet=A0&amp;row=401&amp;col=10&amp;number=&amp;sourceID=32","")</f>
        <v/>
      </c>
      <c r="K401" s="4" t="str">
        <f>HYPERLINK("http://141.218.60.56/~jnz1568/getInfo.php?workbook=10_02.xlsx&amp;sheet=A0&amp;row=401&amp;col=11&amp;number=&amp;sourceID=46","")</f>
        <v/>
      </c>
      <c r="L401" s="4" t="str">
        <f>HYPERLINK("http://141.218.60.56/~jnz1568/getInfo.php?workbook=10_02.xlsx&amp;sheet=A0&amp;row=401&amp;col=12&amp;number=&amp;sourceID=47","")</f>
        <v/>
      </c>
    </row>
    <row r="402" spans="1:12">
      <c r="A402" s="3">
        <v>10</v>
      </c>
      <c r="B402" s="3">
        <v>2</v>
      </c>
      <c r="C402" s="3">
        <v>32</v>
      </c>
      <c r="D402" s="3">
        <v>9</v>
      </c>
      <c r="E402" s="3">
        <f>((1/(INDEX(E0!J$4:J$52,C402,1)-INDEX(E0!J$4:J$52,D402,1))))*100000000</f>
        <v>0</v>
      </c>
      <c r="F402" s="4" t="str">
        <f>HYPERLINK("http://141.218.60.56/~jnz1568/getInfo.php?workbook=10_02.xlsx&amp;sheet=A0&amp;row=402&amp;col=6&amp;number=&amp;sourceID=27","")</f>
        <v/>
      </c>
      <c r="G402" s="4" t="str">
        <f>HYPERLINK("http://141.218.60.56/~jnz1568/getInfo.php?workbook=10_02.xlsx&amp;sheet=A0&amp;row=402&amp;col=7&amp;number=849300000&amp;sourceID=32","849300000")</f>
        <v>849300000</v>
      </c>
      <c r="H402" s="4" t="str">
        <f>HYPERLINK("http://141.218.60.56/~jnz1568/getInfo.php?workbook=10_02.xlsx&amp;sheet=A0&amp;row=402&amp;col=8&amp;number=&amp;sourceID=32","")</f>
        <v/>
      </c>
      <c r="I402" s="4" t="str">
        <f>HYPERLINK("http://141.218.60.56/~jnz1568/getInfo.php?workbook=10_02.xlsx&amp;sheet=A0&amp;row=402&amp;col=9&amp;number=&amp;sourceID=32","")</f>
        <v/>
      </c>
      <c r="J402" s="4" t="str">
        <f>HYPERLINK("http://141.218.60.56/~jnz1568/getInfo.php?workbook=10_02.xlsx&amp;sheet=A0&amp;row=402&amp;col=10&amp;number=&amp;sourceID=32","")</f>
        <v/>
      </c>
      <c r="K402" s="4" t="str">
        <f>HYPERLINK("http://141.218.60.56/~jnz1568/getInfo.php?workbook=10_02.xlsx&amp;sheet=A0&amp;row=402&amp;col=11&amp;number=817980000&amp;sourceID=46","817980000")</f>
        <v>817980000</v>
      </c>
      <c r="L402" s="4" t="str">
        <f>HYPERLINK("http://141.218.60.56/~jnz1568/getInfo.php?workbook=10_02.xlsx&amp;sheet=A0&amp;row=402&amp;col=12&amp;number=&amp;sourceID=47","")</f>
        <v/>
      </c>
    </row>
    <row r="403" spans="1:12">
      <c r="A403" s="3">
        <v>10</v>
      </c>
      <c r="B403" s="3">
        <v>2</v>
      </c>
      <c r="C403" s="3">
        <v>32</v>
      </c>
      <c r="D403" s="3">
        <v>10</v>
      </c>
      <c r="E403" s="3">
        <f>((1/(INDEX(E0!J$4:J$52,C403,1)-INDEX(E0!J$4:J$52,D403,1))))*100000000</f>
        <v>0</v>
      </c>
      <c r="F403" s="4" t="str">
        <f>HYPERLINK("http://141.218.60.56/~jnz1568/getInfo.php?workbook=10_02.xlsx&amp;sheet=A0&amp;row=403&amp;col=6&amp;number=&amp;sourceID=27","")</f>
        <v/>
      </c>
      <c r="G403" s="4" t="str">
        <f>HYPERLINK("http://141.218.60.56/~jnz1568/getInfo.php?workbook=10_02.xlsx&amp;sheet=A0&amp;row=403&amp;col=7&amp;number=2539000000&amp;sourceID=32","2539000000")</f>
        <v>2539000000</v>
      </c>
      <c r="H403" s="4" t="str">
        <f>HYPERLINK("http://141.218.60.56/~jnz1568/getInfo.php?workbook=10_02.xlsx&amp;sheet=A0&amp;row=403&amp;col=8&amp;number=&amp;sourceID=32","")</f>
        <v/>
      </c>
      <c r="I403" s="4" t="str">
        <f>HYPERLINK("http://141.218.60.56/~jnz1568/getInfo.php?workbook=10_02.xlsx&amp;sheet=A0&amp;row=403&amp;col=9&amp;number=&amp;sourceID=32","")</f>
        <v/>
      </c>
      <c r="J403" s="4" t="str">
        <f>HYPERLINK("http://141.218.60.56/~jnz1568/getInfo.php?workbook=10_02.xlsx&amp;sheet=A0&amp;row=403&amp;col=10&amp;number=3.535&amp;sourceID=32","3.535")</f>
        <v>3.535</v>
      </c>
      <c r="K403" s="4" t="str">
        <f>HYPERLINK("http://141.218.60.56/~jnz1568/getInfo.php?workbook=10_02.xlsx&amp;sheet=A0&amp;row=403&amp;col=11&amp;number=2430000000&amp;sourceID=46","2430000000")</f>
        <v>2430000000</v>
      </c>
      <c r="L403" s="4" t="str">
        <f>HYPERLINK("http://141.218.60.56/~jnz1568/getInfo.php?workbook=10_02.xlsx&amp;sheet=A0&amp;row=403&amp;col=12&amp;number=&amp;sourceID=47","")</f>
        <v/>
      </c>
    </row>
    <row r="404" spans="1:12">
      <c r="A404" s="3">
        <v>10</v>
      </c>
      <c r="B404" s="3">
        <v>2</v>
      </c>
      <c r="C404" s="3">
        <v>32</v>
      </c>
      <c r="D404" s="3">
        <v>11</v>
      </c>
      <c r="E404" s="3">
        <f>((1/(INDEX(E0!J$4:J$52,C404,1)-INDEX(E0!J$4:J$52,D404,1))))*100000000</f>
        <v>0</v>
      </c>
      <c r="F404" s="4" t="str">
        <f>HYPERLINK("http://141.218.60.56/~jnz1568/getInfo.php?workbook=10_02.xlsx&amp;sheet=A0&amp;row=404&amp;col=6&amp;number=&amp;sourceID=27","")</f>
        <v/>
      </c>
      <c r="G404" s="4" t="str">
        <f>HYPERLINK("http://141.218.60.56/~jnz1568/getInfo.php?workbook=10_02.xlsx&amp;sheet=A0&amp;row=404&amp;col=7&amp;number=&amp;sourceID=32","")</f>
        <v/>
      </c>
      <c r="H404" s="4" t="str">
        <f>HYPERLINK("http://141.218.60.56/~jnz1568/getInfo.php?workbook=10_02.xlsx&amp;sheet=A0&amp;row=404&amp;col=8&amp;number=&amp;sourceID=32","")</f>
        <v/>
      </c>
      <c r="I404" s="4" t="str">
        <f>HYPERLINK("http://141.218.60.56/~jnz1568/getInfo.php?workbook=10_02.xlsx&amp;sheet=A0&amp;row=404&amp;col=9&amp;number=0.06083&amp;sourceID=32","0.06083")</f>
        <v>0.06083</v>
      </c>
      <c r="J404" s="4" t="str">
        <f>HYPERLINK("http://141.218.60.56/~jnz1568/getInfo.php?workbook=10_02.xlsx&amp;sheet=A0&amp;row=404&amp;col=10&amp;number=&amp;sourceID=32","")</f>
        <v/>
      </c>
      <c r="K404" s="4" t="str">
        <f>HYPERLINK("http://141.218.60.56/~jnz1568/getInfo.php?workbook=10_02.xlsx&amp;sheet=A0&amp;row=404&amp;col=11&amp;number=&amp;sourceID=46","")</f>
        <v/>
      </c>
      <c r="L404" s="4" t="str">
        <f>HYPERLINK("http://141.218.60.56/~jnz1568/getInfo.php?workbook=10_02.xlsx&amp;sheet=A0&amp;row=404&amp;col=12&amp;number=&amp;sourceID=47","")</f>
        <v/>
      </c>
    </row>
    <row r="405" spans="1:12">
      <c r="A405" s="3">
        <v>10</v>
      </c>
      <c r="B405" s="3">
        <v>2</v>
      </c>
      <c r="C405" s="3">
        <v>32</v>
      </c>
      <c r="D405" s="3">
        <v>12</v>
      </c>
      <c r="E405" s="3">
        <f>((1/(INDEX(E0!J$4:J$52,C405,1)-INDEX(E0!J$4:J$52,D405,1))))*100000000</f>
        <v>0</v>
      </c>
      <c r="F405" s="4" t="str">
        <f>HYPERLINK("http://141.218.60.56/~jnz1568/getInfo.php?workbook=10_02.xlsx&amp;sheet=A0&amp;row=405&amp;col=6&amp;number=&amp;sourceID=27","")</f>
        <v/>
      </c>
      <c r="G405" s="4" t="str">
        <f>HYPERLINK("http://141.218.60.56/~jnz1568/getInfo.php?workbook=10_02.xlsx&amp;sheet=A0&amp;row=405&amp;col=7&amp;number=4257000000&amp;sourceID=32","4257000000")</f>
        <v>4257000000</v>
      </c>
      <c r="H405" s="4" t="str">
        <f>HYPERLINK("http://141.218.60.56/~jnz1568/getInfo.php?workbook=10_02.xlsx&amp;sheet=A0&amp;row=405&amp;col=8&amp;number=&amp;sourceID=32","")</f>
        <v/>
      </c>
      <c r="I405" s="4" t="str">
        <f>HYPERLINK("http://141.218.60.56/~jnz1568/getInfo.php?workbook=10_02.xlsx&amp;sheet=A0&amp;row=405&amp;col=9&amp;number=&amp;sourceID=32","")</f>
        <v/>
      </c>
      <c r="J405" s="4" t="str">
        <f>HYPERLINK("http://141.218.60.56/~jnz1568/getInfo.php?workbook=10_02.xlsx&amp;sheet=A0&amp;row=405&amp;col=10&amp;number=11.45&amp;sourceID=32","11.45")</f>
        <v>11.45</v>
      </c>
      <c r="K405" s="4" t="str">
        <f>HYPERLINK("http://141.218.60.56/~jnz1568/getInfo.php?workbook=10_02.xlsx&amp;sheet=A0&amp;row=405&amp;col=11&amp;number=4021400000&amp;sourceID=46","4021400000")</f>
        <v>4021400000</v>
      </c>
      <c r="L405" s="4" t="str">
        <f>HYPERLINK("http://141.218.60.56/~jnz1568/getInfo.php?workbook=10_02.xlsx&amp;sheet=A0&amp;row=405&amp;col=12&amp;number=&amp;sourceID=47","")</f>
        <v/>
      </c>
    </row>
    <row r="406" spans="1:12">
      <c r="A406" s="3">
        <v>10</v>
      </c>
      <c r="B406" s="3">
        <v>2</v>
      </c>
      <c r="C406" s="3">
        <v>32</v>
      </c>
      <c r="D406" s="3">
        <v>13</v>
      </c>
      <c r="E406" s="3">
        <f>((1/(INDEX(E0!J$4:J$52,C406,1)-INDEX(E0!J$4:J$52,D406,1))))*100000000</f>
        <v>0</v>
      </c>
      <c r="F406" s="4" t="str">
        <f>HYPERLINK("http://141.218.60.56/~jnz1568/getInfo.php?workbook=10_02.xlsx&amp;sheet=A0&amp;row=406&amp;col=6&amp;number=&amp;sourceID=27","")</f>
        <v/>
      </c>
      <c r="G406" s="4" t="str">
        <f>HYPERLINK("http://141.218.60.56/~jnz1568/getInfo.php?workbook=10_02.xlsx&amp;sheet=A0&amp;row=406&amp;col=7&amp;number=&amp;sourceID=32","")</f>
        <v/>
      </c>
      <c r="H406" s="4" t="str">
        <f>HYPERLINK("http://141.218.60.56/~jnz1568/getInfo.php?workbook=10_02.xlsx&amp;sheet=A0&amp;row=406&amp;col=8&amp;number=74760&amp;sourceID=32","74760")</f>
        <v>74760</v>
      </c>
      <c r="I406" s="4" t="str">
        <f>HYPERLINK("http://141.218.60.56/~jnz1568/getInfo.php?workbook=10_02.xlsx&amp;sheet=A0&amp;row=406&amp;col=9&amp;number=0.0009945&amp;sourceID=32","0.0009945")</f>
        <v>0.0009945</v>
      </c>
      <c r="J406" s="4" t="str">
        <f>HYPERLINK("http://141.218.60.56/~jnz1568/getInfo.php?workbook=10_02.xlsx&amp;sheet=A0&amp;row=406&amp;col=10&amp;number=&amp;sourceID=32","")</f>
        <v/>
      </c>
      <c r="K406" s="4" t="str">
        <f>HYPERLINK("http://141.218.60.56/~jnz1568/getInfo.php?workbook=10_02.xlsx&amp;sheet=A0&amp;row=406&amp;col=11&amp;number=73819&amp;sourceID=46","73819")</f>
        <v>73819</v>
      </c>
      <c r="L406" s="4" t="str">
        <f>HYPERLINK("http://141.218.60.56/~jnz1568/getInfo.php?workbook=10_02.xlsx&amp;sheet=A0&amp;row=406&amp;col=12&amp;number=&amp;sourceID=47","")</f>
        <v/>
      </c>
    </row>
    <row r="407" spans="1:12">
      <c r="A407" s="3">
        <v>10</v>
      </c>
      <c r="B407" s="3">
        <v>2</v>
      </c>
      <c r="C407" s="3">
        <v>32</v>
      </c>
      <c r="D407" s="3">
        <v>14</v>
      </c>
      <c r="E407" s="3">
        <f>((1/(INDEX(E0!J$4:J$52,C407,1)-INDEX(E0!J$4:J$52,D407,1))))*100000000</f>
        <v>0</v>
      </c>
      <c r="F407" s="4" t="str">
        <f>HYPERLINK("http://141.218.60.56/~jnz1568/getInfo.php?workbook=10_02.xlsx&amp;sheet=A0&amp;row=407&amp;col=6&amp;number=&amp;sourceID=27","")</f>
        <v/>
      </c>
      <c r="G407" s="4" t="str">
        <f>HYPERLINK("http://141.218.60.56/~jnz1568/getInfo.php?workbook=10_02.xlsx&amp;sheet=A0&amp;row=407&amp;col=7&amp;number=&amp;sourceID=32","")</f>
        <v/>
      </c>
      <c r="H407" s="4" t="str">
        <f>HYPERLINK("http://141.218.60.56/~jnz1568/getInfo.php?workbook=10_02.xlsx&amp;sheet=A0&amp;row=407&amp;col=8&amp;number=119100&amp;sourceID=32","119100")</f>
        <v>119100</v>
      </c>
      <c r="I407" s="4" t="str">
        <f>HYPERLINK("http://141.218.60.56/~jnz1568/getInfo.php?workbook=10_02.xlsx&amp;sheet=A0&amp;row=407&amp;col=9&amp;number=0.0001347&amp;sourceID=32","0.0001347")</f>
        <v>0.0001347</v>
      </c>
      <c r="J407" s="4" t="str">
        <f>HYPERLINK("http://141.218.60.56/~jnz1568/getInfo.php?workbook=10_02.xlsx&amp;sheet=A0&amp;row=407&amp;col=10&amp;number=&amp;sourceID=32","")</f>
        <v/>
      </c>
      <c r="K407" s="4" t="str">
        <f>HYPERLINK("http://141.218.60.56/~jnz1568/getInfo.php?workbook=10_02.xlsx&amp;sheet=A0&amp;row=407&amp;col=11&amp;number=119460&amp;sourceID=46","119460")</f>
        <v>119460</v>
      </c>
      <c r="L407" s="4" t="str">
        <f>HYPERLINK("http://141.218.60.56/~jnz1568/getInfo.php?workbook=10_02.xlsx&amp;sheet=A0&amp;row=407&amp;col=12&amp;number=&amp;sourceID=47","")</f>
        <v/>
      </c>
    </row>
    <row r="408" spans="1:12">
      <c r="A408" s="3">
        <v>10</v>
      </c>
      <c r="B408" s="3">
        <v>2</v>
      </c>
      <c r="C408" s="3">
        <v>32</v>
      </c>
      <c r="D408" s="3">
        <v>15</v>
      </c>
      <c r="E408" s="3">
        <f>((1/(INDEX(E0!J$4:J$52,C408,1)-INDEX(E0!J$4:J$52,D408,1))))*100000000</f>
        <v>0</v>
      </c>
      <c r="F408" s="4" t="str">
        <f>HYPERLINK("http://141.218.60.56/~jnz1568/getInfo.php?workbook=10_02.xlsx&amp;sheet=A0&amp;row=408&amp;col=6&amp;number=&amp;sourceID=27","")</f>
        <v/>
      </c>
      <c r="G408" s="4" t="str">
        <f>HYPERLINK("http://141.218.60.56/~jnz1568/getInfo.php?workbook=10_02.xlsx&amp;sheet=A0&amp;row=408&amp;col=7&amp;number=&amp;sourceID=32","")</f>
        <v/>
      </c>
      <c r="H408" s="4" t="str">
        <f>HYPERLINK("http://141.218.60.56/~jnz1568/getInfo.php?workbook=10_02.xlsx&amp;sheet=A0&amp;row=408&amp;col=8&amp;number=174400&amp;sourceID=32","174400")</f>
        <v>174400</v>
      </c>
      <c r="I408" s="4" t="str">
        <f>HYPERLINK("http://141.218.60.56/~jnz1568/getInfo.php?workbook=10_02.xlsx&amp;sheet=A0&amp;row=408&amp;col=9&amp;number=&amp;sourceID=32","")</f>
        <v/>
      </c>
      <c r="J408" s="4" t="str">
        <f>HYPERLINK("http://141.218.60.56/~jnz1568/getInfo.php?workbook=10_02.xlsx&amp;sheet=A0&amp;row=408&amp;col=10&amp;number=&amp;sourceID=32","")</f>
        <v/>
      </c>
      <c r="K408" s="4" t="str">
        <f>HYPERLINK("http://141.218.60.56/~jnz1568/getInfo.php?workbook=10_02.xlsx&amp;sheet=A0&amp;row=408&amp;col=11&amp;number=171980&amp;sourceID=46","171980")</f>
        <v>171980</v>
      </c>
      <c r="L408" s="4" t="str">
        <f>HYPERLINK("http://141.218.60.56/~jnz1568/getInfo.php?workbook=10_02.xlsx&amp;sheet=A0&amp;row=408&amp;col=12&amp;number=&amp;sourceID=47","")</f>
        <v/>
      </c>
    </row>
    <row r="409" spans="1:12">
      <c r="A409" s="3">
        <v>10</v>
      </c>
      <c r="B409" s="3">
        <v>2</v>
      </c>
      <c r="C409" s="3">
        <v>32</v>
      </c>
      <c r="D409" s="3">
        <v>16</v>
      </c>
      <c r="E409" s="3">
        <f>((1/(INDEX(E0!J$4:J$52,C409,1)-INDEX(E0!J$4:J$52,D409,1))))*100000000</f>
        <v>0</v>
      </c>
      <c r="F409" s="4" t="str">
        <f>HYPERLINK("http://141.218.60.56/~jnz1568/getInfo.php?workbook=10_02.xlsx&amp;sheet=A0&amp;row=409&amp;col=6&amp;number=&amp;sourceID=27","")</f>
        <v/>
      </c>
      <c r="G409" s="4" t="str">
        <f>HYPERLINK("http://141.218.60.56/~jnz1568/getInfo.php?workbook=10_02.xlsx&amp;sheet=A0&amp;row=409&amp;col=7&amp;number=&amp;sourceID=32","")</f>
        <v/>
      </c>
      <c r="H409" s="4" t="str">
        <f>HYPERLINK("http://141.218.60.56/~jnz1568/getInfo.php?workbook=10_02.xlsx&amp;sheet=A0&amp;row=409&amp;col=8&amp;number=5307&amp;sourceID=32","5307")</f>
        <v>5307</v>
      </c>
      <c r="I409" s="4" t="str">
        <f>HYPERLINK("http://141.218.60.56/~jnz1568/getInfo.php?workbook=10_02.xlsx&amp;sheet=A0&amp;row=409&amp;col=9&amp;number=3.665e-05&amp;sourceID=32","3.665e-05")</f>
        <v>3.665e-05</v>
      </c>
      <c r="J409" s="4" t="str">
        <f>HYPERLINK("http://141.218.60.56/~jnz1568/getInfo.php?workbook=10_02.xlsx&amp;sheet=A0&amp;row=409&amp;col=10&amp;number=&amp;sourceID=32","")</f>
        <v/>
      </c>
      <c r="K409" s="4" t="str">
        <f>HYPERLINK("http://141.218.60.56/~jnz1568/getInfo.php?workbook=10_02.xlsx&amp;sheet=A0&amp;row=409&amp;col=11&amp;number=3343&amp;sourceID=46","3343")</f>
        <v>3343</v>
      </c>
      <c r="L409" s="4" t="str">
        <f>HYPERLINK("http://141.218.60.56/~jnz1568/getInfo.php?workbook=10_02.xlsx&amp;sheet=A0&amp;row=409&amp;col=12&amp;number=&amp;sourceID=47","")</f>
        <v/>
      </c>
    </row>
    <row r="410" spans="1:12">
      <c r="A410" s="3">
        <v>10</v>
      </c>
      <c r="B410" s="3">
        <v>2</v>
      </c>
      <c r="C410" s="3">
        <v>32</v>
      </c>
      <c r="D410" s="3">
        <v>17</v>
      </c>
      <c r="E410" s="3">
        <f>((1/(INDEX(E0!J$4:J$52,C410,1)-INDEX(E0!J$4:J$52,D410,1))))*100000000</f>
        <v>0</v>
      </c>
      <c r="F410" s="4" t="str">
        <f>HYPERLINK("http://141.218.60.56/~jnz1568/getInfo.php?workbook=10_02.xlsx&amp;sheet=A0&amp;row=410&amp;col=6&amp;number=&amp;sourceID=27","")</f>
        <v/>
      </c>
      <c r="G410" s="4" t="str">
        <f>HYPERLINK("http://141.218.60.56/~jnz1568/getInfo.php?workbook=10_02.xlsx&amp;sheet=A0&amp;row=410&amp;col=7&amp;number=1862000&amp;sourceID=32","1862000")</f>
        <v>1862000</v>
      </c>
      <c r="H410" s="4" t="str">
        <f>HYPERLINK("http://141.218.60.56/~jnz1568/getInfo.php?workbook=10_02.xlsx&amp;sheet=A0&amp;row=410&amp;col=8&amp;number=&amp;sourceID=32","")</f>
        <v/>
      </c>
      <c r="I410" s="4" t="str">
        <f>HYPERLINK("http://141.218.60.56/~jnz1568/getInfo.php?workbook=10_02.xlsx&amp;sheet=A0&amp;row=410&amp;col=9&amp;number=&amp;sourceID=32","")</f>
        <v/>
      </c>
      <c r="J410" s="4" t="str">
        <f>HYPERLINK("http://141.218.60.56/~jnz1568/getInfo.php?workbook=10_02.xlsx&amp;sheet=A0&amp;row=410&amp;col=10&amp;number=8.517&amp;sourceID=32","8.517")</f>
        <v>8.517</v>
      </c>
      <c r="K410" s="4" t="str">
        <f>HYPERLINK("http://141.218.60.56/~jnz1568/getInfo.php?workbook=10_02.xlsx&amp;sheet=A0&amp;row=410&amp;col=11&amp;number=838270&amp;sourceID=46","838270")</f>
        <v>838270</v>
      </c>
      <c r="L410" s="4" t="str">
        <f>HYPERLINK("http://141.218.60.56/~jnz1568/getInfo.php?workbook=10_02.xlsx&amp;sheet=A0&amp;row=410&amp;col=12&amp;number=&amp;sourceID=47","")</f>
        <v/>
      </c>
    </row>
    <row r="411" spans="1:12">
      <c r="A411" s="3">
        <v>10</v>
      </c>
      <c r="B411" s="3">
        <v>2</v>
      </c>
      <c r="C411" s="3">
        <v>32</v>
      </c>
      <c r="D411" s="3">
        <v>18</v>
      </c>
      <c r="E411" s="3">
        <f>((1/(INDEX(E0!J$4:J$52,C411,1)-INDEX(E0!J$4:J$52,D411,1))))*100000000</f>
        <v>0</v>
      </c>
      <c r="F411" s="4" t="str">
        <f>HYPERLINK("http://141.218.60.56/~jnz1568/getInfo.php?workbook=10_02.xlsx&amp;sheet=A0&amp;row=411&amp;col=6&amp;number=&amp;sourceID=27","")</f>
        <v/>
      </c>
      <c r="G411" s="4" t="str">
        <f>HYPERLINK("http://141.218.60.56/~jnz1568/getInfo.php?workbook=10_02.xlsx&amp;sheet=A0&amp;row=411&amp;col=7&amp;number=&amp;sourceID=32","")</f>
        <v/>
      </c>
      <c r="H411" s="4" t="str">
        <f>HYPERLINK("http://141.218.60.56/~jnz1568/getInfo.php?workbook=10_02.xlsx&amp;sheet=A0&amp;row=411&amp;col=8&amp;number=0.04691&amp;sourceID=32","0.04691")</f>
        <v>0.04691</v>
      </c>
      <c r="I411" s="4" t="str">
        <f>HYPERLINK("http://141.218.60.56/~jnz1568/getInfo.php?workbook=10_02.xlsx&amp;sheet=A0&amp;row=411&amp;col=9&amp;number=0.001852&amp;sourceID=32","0.001852")</f>
        <v>0.001852</v>
      </c>
      <c r="J411" s="4" t="str">
        <f>HYPERLINK("http://141.218.60.56/~jnz1568/getInfo.php?workbook=10_02.xlsx&amp;sheet=A0&amp;row=411&amp;col=10&amp;number=&amp;sourceID=32","")</f>
        <v/>
      </c>
      <c r="K411" s="4" t="str">
        <f>HYPERLINK("http://141.218.60.56/~jnz1568/getInfo.php?workbook=10_02.xlsx&amp;sheet=A0&amp;row=411&amp;col=11&amp;number=&amp;sourceID=46","")</f>
        <v/>
      </c>
      <c r="L411" s="4" t="str">
        <f>HYPERLINK("http://141.218.60.56/~jnz1568/getInfo.php?workbook=10_02.xlsx&amp;sheet=A0&amp;row=411&amp;col=12&amp;number=&amp;sourceID=47","")</f>
        <v/>
      </c>
    </row>
    <row r="412" spans="1:12">
      <c r="A412" s="3">
        <v>10</v>
      </c>
      <c r="B412" s="3">
        <v>2</v>
      </c>
      <c r="C412" s="3">
        <v>32</v>
      </c>
      <c r="D412" s="3">
        <v>19</v>
      </c>
      <c r="E412" s="3">
        <f>((1/(INDEX(E0!J$4:J$52,C412,1)-INDEX(E0!J$4:J$52,D412,1))))*100000000</f>
        <v>0</v>
      </c>
      <c r="F412" s="4" t="str">
        <f>HYPERLINK("http://141.218.60.56/~jnz1568/getInfo.php?workbook=10_02.xlsx&amp;sheet=A0&amp;row=412&amp;col=6&amp;number=&amp;sourceID=27","")</f>
        <v/>
      </c>
      <c r="G412" s="4" t="str">
        <f>HYPERLINK("http://141.218.60.56/~jnz1568/getInfo.php?workbook=10_02.xlsx&amp;sheet=A0&amp;row=412&amp;col=7&amp;number=604900000&amp;sourceID=32","604900000")</f>
        <v>604900000</v>
      </c>
      <c r="H412" s="4" t="str">
        <f>HYPERLINK("http://141.218.60.56/~jnz1568/getInfo.php?workbook=10_02.xlsx&amp;sheet=A0&amp;row=412&amp;col=8&amp;number=&amp;sourceID=32","")</f>
        <v/>
      </c>
      <c r="I412" s="4" t="str">
        <f>HYPERLINK("http://141.218.60.56/~jnz1568/getInfo.php?workbook=10_02.xlsx&amp;sheet=A0&amp;row=412&amp;col=9&amp;number=&amp;sourceID=32","")</f>
        <v/>
      </c>
      <c r="J412" s="4" t="str">
        <f>HYPERLINK("http://141.218.60.56/~jnz1568/getInfo.php?workbook=10_02.xlsx&amp;sheet=A0&amp;row=412&amp;col=10&amp;number=&amp;sourceID=32","")</f>
        <v/>
      </c>
      <c r="K412" s="4" t="str">
        <f>HYPERLINK("http://141.218.60.56/~jnz1568/getInfo.php?workbook=10_02.xlsx&amp;sheet=A0&amp;row=412&amp;col=11&amp;number=597430000&amp;sourceID=46","597430000")</f>
        <v>597430000</v>
      </c>
      <c r="L412" s="4" t="str">
        <f>HYPERLINK("http://141.218.60.56/~jnz1568/getInfo.php?workbook=10_02.xlsx&amp;sheet=A0&amp;row=412&amp;col=12&amp;number=&amp;sourceID=47","")</f>
        <v/>
      </c>
    </row>
    <row r="413" spans="1:12">
      <c r="A413" s="3">
        <v>10</v>
      </c>
      <c r="B413" s="3">
        <v>2</v>
      </c>
      <c r="C413" s="3">
        <v>32</v>
      </c>
      <c r="D413" s="3">
        <v>20</v>
      </c>
      <c r="E413" s="3">
        <f>((1/(INDEX(E0!J$4:J$52,C413,1)-INDEX(E0!J$4:J$52,D413,1))))*100000000</f>
        <v>0</v>
      </c>
      <c r="F413" s="4" t="str">
        <f>HYPERLINK("http://141.218.60.56/~jnz1568/getInfo.php?workbook=10_02.xlsx&amp;sheet=A0&amp;row=413&amp;col=6&amp;number=&amp;sourceID=27","")</f>
        <v/>
      </c>
      <c r="G413" s="4" t="str">
        <f>HYPERLINK("http://141.218.60.56/~jnz1568/getInfo.php?workbook=10_02.xlsx&amp;sheet=A0&amp;row=413&amp;col=7&amp;number=1810000000&amp;sourceID=32","1810000000")</f>
        <v>1810000000</v>
      </c>
      <c r="H413" s="4" t="str">
        <f>HYPERLINK("http://141.218.60.56/~jnz1568/getInfo.php?workbook=10_02.xlsx&amp;sheet=A0&amp;row=413&amp;col=8&amp;number=&amp;sourceID=32","")</f>
        <v/>
      </c>
      <c r="I413" s="4" t="str">
        <f>HYPERLINK("http://141.218.60.56/~jnz1568/getInfo.php?workbook=10_02.xlsx&amp;sheet=A0&amp;row=413&amp;col=9&amp;number=&amp;sourceID=32","")</f>
        <v/>
      </c>
      <c r="J413" s="4" t="str">
        <f>HYPERLINK("http://141.218.60.56/~jnz1568/getInfo.php?workbook=10_02.xlsx&amp;sheet=A0&amp;row=413&amp;col=10&amp;number=0.2428&amp;sourceID=32","0.2428")</f>
        <v>0.2428</v>
      </c>
      <c r="K413" s="4" t="str">
        <f>HYPERLINK("http://141.218.60.56/~jnz1568/getInfo.php?workbook=10_02.xlsx&amp;sheet=A0&amp;row=413&amp;col=11&amp;number=1786200000&amp;sourceID=46","1786200000")</f>
        <v>1786200000</v>
      </c>
      <c r="L413" s="4" t="str">
        <f>HYPERLINK("http://141.218.60.56/~jnz1568/getInfo.php?workbook=10_02.xlsx&amp;sheet=A0&amp;row=413&amp;col=12&amp;number=&amp;sourceID=47","")</f>
        <v/>
      </c>
    </row>
    <row r="414" spans="1:12">
      <c r="A414" s="3">
        <v>10</v>
      </c>
      <c r="B414" s="3">
        <v>2</v>
      </c>
      <c r="C414" s="3">
        <v>32</v>
      </c>
      <c r="D414" s="3">
        <v>21</v>
      </c>
      <c r="E414" s="3">
        <f>((1/(INDEX(E0!J$4:J$52,C414,1)-INDEX(E0!J$4:J$52,D414,1))))*100000000</f>
        <v>0</v>
      </c>
      <c r="F414" s="4" t="str">
        <f>HYPERLINK("http://141.218.60.56/~jnz1568/getInfo.php?workbook=10_02.xlsx&amp;sheet=A0&amp;row=414&amp;col=6&amp;number=&amp;sourceID=27","")</f>
        <v/>
      </c>
      <c r="G414" s="4" t="str">
        <f>HYPERLINK("http://141.218.60.56/~jnz1568/getInfo.php?workbook=10_02.xlsx&amp;sheet=A0&amp;row=414&amp;col=7&amp;number=&amp;sourceID=32","")</f>
        <v/>
      </c>
      <c r="H414" s="4" t="str">
        <f>HYPERLINK("http://141.218.60.56/~jnz1568/getInfo.php?workbook=10_02.xlsx&amp;sheet=A0&amp;row=414&amp;col=8&amp;number=&amp;sourceID=32","")</f>
        <v/>
      </c>
      <c r="I414" s="4" t="str">
        <f>HYPERLINK("http://141.218.60.56/~jnz1568/getInfo.php?workbook=10_02.xlsx&amp;sheet=A0&amp;row=414&amp;col=9&amp;number=0.002969&amp;sourceID=32","0.002969")</f>
        <v>0.002969</v>
      </c>
      <c r="J414" s="4" t="str">
        <f>HYPERLINK("http://141.218.60.56/~jnz1568/getInfo.php?workbook=10_02.xlsx&amp;sheet=A0&amp;row=414&amp;col=10&amp;number=&amp;sourceID=32","")</f>
        <v/>
      </c>
      <c r="K414" s="4" t="str">
        <f>HYPERLINK("http://141.218.60.56/~jnz1568/getInfo.php?workbook=10_02.xlsx&amp;sheet=A0&amp;row=414&amp;col=11&amp;number=&amp;sourceID=46","")</f>
        <v/>
      </c>
      <c r="L414" s="4" t="str">
        <f>HYPERLINK("http://141.218.60.56/~jnz1568/getInfo.php?workbook=10_02.xlsx&amp;sheet=A0&amp;row=414&amp;col=12&amp;number=&amp;sourceID=47","")</f>
        <v/>
      </c>
    </row>
    <row r="415" spans="1:12">
      <c r="A415" s="3">
        <v>10</v>
      </c>
      <c r="B415" s="3">
        <v>2</v>
      </c>
      <c r="C415" s="3">
        <v>32</v>
      </c>
      <c r="D415" s="3">
        <v>22</v>
      </c>
      <c r="E415" s="3">
        <f>((1/(INDEX(E0!J$4:J$52,C415,1)-INDEX(E0!J$4:J$52,D415,1))))*100000000</f>
        <v>0</v>
      </c>
      <c r="F415" s="4" t="str">
        <f>HYPERLINK("http://141.218.60.56/~jnz1568/getInfo.php?workbook=10_02.xlsx&amp;sheet=A0&amp;row=415&amp;col=6&amp;number=&amp;sourceID=27","")</f>
        <v/>
      </c>
      <c r="G415" s="4" t="str">
        <f>HYPERLINK("http://141.218.60.56/~jnz1568/getInfo.php?workbook=10_02.xlsx&amp;sheet=A0&amp;row=415&amp;col=7&amp;number=3034000000&amp;sourceID=32","3034000000")</f>
        <v>3034000000</v>
      </c>
      <c r="H415" s="4" t="str">
        <f>HYPERLINK("http://141.218.60.56/~jnz1568/getInfo.php?workbook=10_02.xlsx&amp;sheet=A0&amp;row=415&amp;col=8&amp;number=&amp;sourceID=32","")</f>
        <v/>
      </c>
      <c r="I415" s="4" t="str">
        <f>HYPERLINK("http://141.218.60.56/~jnz1568/getInfo.php?workbook=10_02.xlsx&amp;sheet=A0&amp;row=415&amp;col=9&amp;number=&amp;sourceID=32","")</f>
        <v/>
      </c>
      <c r="J415" s="4" t="str">
        <f>HYPERLINK("http://141.218.60.56/~jnz1568/getInfo.php?workbook=10_02.xlsx&amp;sheet=A0&amp;row=415&amp;col=10&amp;number=0.7875&amp;sourceID=32","0.7875")</f>
        <v>0.7875</v>
      </c>
      <c r="K415" s="4" t="str">
        <f>HYPERLINK("http://141.218.60.56/~jnz1568/getInfo.php?workbook=10_02.xlsx&amp;sheet=A0&amp;row=415&amp;col=11&amp;number=2987300000&amp;sourceID=46","2987300000")</f>
        <v>2987300000</v>
      </c>
      <c r="L415" s="4" t="str">
        <f>HYPERLINK("http://141.218.60.56/~jnz1568/getInfo.php?workbook=10_02.xlsx&amp;sheet=A0&amp;row=415&amp;col=12&amp;number=&amp;sourceID=47","")</f>
        <v/>
      </c>
    </row>
    <row r="416" spans="1:12">
      <c r="A416" s="3">
        <v>10</v>
      </c>
      <c r="B416" s="3">
        <v>2</v>
      </c>
      <c r="C416" s="3">
        <v>32</v>
      </c>
      <c r="D416" s="3">
        <v>23</v>
      </c>
      <c r="E416" s="3">
        <f>((1/(INDEX(E0!J$4:J$52,C416,1)-INDEX(E0!J$4:J$52,D416,1))))*100000000</f>
        <v>0</v>
      </c>
      <c r="F416" s="4" t="str">
        <f>HYPERLINK("http://141.218.60.56/~jnz1568/getInfo.php?workbook=10_02.xlsx&amp;sheet=A0&amp;row=416&amp;col=6&amp;number=&amp;sourceID=27","")</f>
        <v/>
      </c>
      <c r="G416" s="4" t="str">
        <f>HYPERLINK("http://141.218.60.56/~jnz1568/getInfo.php?workbook=10_02.xlsx&amp;sheet=A0&amp;row=416&amp;col=7&amp;number=&amp;sourceID=32","")</f>
        <v/>
      </c>
      <c r="H416" s="4" t="str">
        <f>HYPERLINK("http://141.218.60.56/~jnz1568/getInfo.php?workbook=10_02.xlsx&amp;sheet=A0&amp;row=416&amp;col=8&amp;number=37940&amp;sourceID=32","37940")</f>
        <v>37940</v>
      </c>
      <c r="I416" s="4" t="str">
        <f>HYPERLINK("http://141.218.60.56/~jnz1568/getInfo.php?workbook=10_02.xlsx&amp;sheet=A0&amp;row=416&amp;col=9&amp;number=0.0001877&amp;sourceID=32","0.0001877")</f>
        <v>0.0001877</v>
      </c>
      <c r="J416" s="4" t="str">
        <f>HYPERLINK("http://141.218.60.56/~jnz1568/getInfo.php?workbook=10_02.xlsx&amp;sheet=A0&amp;row=416&amp;col=10&amp;number=&amp;sourceID=32","")</f>
        <v/>
      </c>
      <c r="K416" s="4" t="str">
        <f>HYPERLINK("http://141.218.60.56/~jnz1568/getInfo.php?workbook=10_02.xlsx&amp;sheet=A0&amp;row=416&amp;col=11&amp;number=37873&amp;sourceID=46","37873")</f>
        <v>37873</v>
      </c>
      <c r="L416" s="4" t="str">
        <f>HYPERLINK("http://141.218.60.56/~jnz1568/getInfo.php?workbook=10_02.xlsx&amp;sheet=A0&amp;row=416&amp;col=12&amp;number=&amp;sourceID=47","")</f>
        <v/>
      </c>
    </row>
    <row r="417" spans="1:12">
      <c r="A417" s="3">
        <v>10</v>
      </c>
      <c r="B417" s="3">
        <v>2</v>
      </c>
      <c r="C417" s="3">
        <v>32</v>
      </c>
      <c r="D417" s="3">
        <v>24</v>
      </c>
      <c r="E417" s="3">
        <f>((1/(INDEX(E0!J$4:J$52,C417,1)-INDEX(E0!J$4:J$52,D417,1))))*100000000</f>
        <v>0</v>
      </c>
      <c r="F417" s="4" t="str">
        <f>HYPERLINK("http://141.218.60.56/~jnz1568/getInfo.php?workbook=10_02.xlsx&amp;sheet=A0&amp;row=417&amp;col=6&amp;number=&amp;sourceID=27","")</f>
        <v/>
      </c>
      <c r="G417" s="4" t="str">
        <f>HYPERLINK("http://141.218.60.56/~jnz1568/getInfo.php?workbook=10_02.xlsx&amp;sheet=A0&amp;row=417&amp;col=7&amp;number=&amp;sourceID=32","")</f>
        <v/>
      </c>
      <c r="H417" s="4" t="str">
        <f>HYPERLINK("http://141.218.60.56/~jnz1568/getInfo.php?workbook=10_02.xlsx&amp;sheet=A0&amp;row=417&amp;col=8&amp;number=61400&amp;sourceID=32","61400")</f>
        <v>61400</v>
      </c>
      <c r="I417" s="4" t="str">
        <f>HYPERLINK("http://141.218.60.56/~jnz1568/getInfo.php?workbook=10_02.xlsx&amp;sheet=A0&amp;row=417&amp;col=9&amp;number=3.083e-05&amp;sourceID=32","3.083e-05")</f>
        <v>3.083e-05</v>
      </c>
      <c r="J417" s="4" t="str">
        <f>HYPERLINK("http://141.218.60.56/~jnz1568/getInfo.php?workbook=10_02.xlsx&amp;sheet=A0&amp;row=417&amp;col=10&amp;number=&amp;sourceID=32","")</f>
        <v/>
      </c>
      <c r="K417" s="4" t="str">
        <f>HYPERLINK("http://141.218.60.56/~jnz1568/getInfo.php?workbook=10_02.xlsx&amp;sheet=A0&amp;row=417&amp;col=11&amp;number=61929&amp;sourceID=46","61929")</f>
        <v>61929</v>
      </c>
      <c r="L417" s="4" t="str">
        <f>HYPERLINK("http://141.218.60.56/~jnz1568/getInfo.php?workbook=10_02.xlsx&amp;sheet=A0&amp;row=417&amp;col=12&amp;number=&amp;sourceID=47","")</f>
        <v/>
      </c>
    </row>
    <row r="418" spans="1:12">
      <c r="A418" s="3">
        <v>10</v>
      </c>
      <c r="B418" s="3">
        <v>2</v>
      </c>
      <c r="C418" s="3">
        <v>32</v>
      </c>
      <c r="D418" s="3">
        <v>25</v>
      </c>
      <c r="E418" s="3">
        <f>((1/(INDEX(E0!J$4:J$52,C418,1)-INDEX(E0!J$4:J$52,D418,1))))*100000000</f>
        <v>0</v>
      </c>
      <c r="F418" s="4" t="str">
        <f>HYPERLINK("http://141.218.60.56/~jnz1568/getInfo.php?workbook=10_02.xlsx&amp;sheet=A0&amp;row=418&amp;col=6&amp;number=&amp;sourceID=27","")</f>
        <v/>
      </c>
      <c r="G418" s="4" t="str">
        <f>HYPERLINK("http://141.218.60.56/~jnz1568/getInfo.php?workbook=10_02.xlsx&amp;sheet=A0&amp;row=418&amp;col=7&amp;number=&amp;sourceID=32","")</f>
        <v/>
      </c>
      <c r="H418" s="4" t="str">
        <f>HYPERLINK("http://141.218.60.56/~jnz1568/getInfo.php?workbook=10_02.xlsx&amp;sheet=A0&amp;row=418&amp;col=8&amp;number=88490&amp;sourceID=32","88490")</f>
        <v>88490</v>
      </c>
      <c r="I418" s="4" t="str">
        <f>HYPERLINK("http://141.218.60.56/~jnz1568/getInfo.php?workbook=10_02.xlsx&amp;sheet=A0&amp;row=418&amp;col=9&amp;number=&amp;sourceID=32","")</f>
        <v/>
      </c>
      <c r="J418" s="4" t="str">
        <f>HYPERLINK("http://141.218.60.56/~jnz1568/getInfo.php?workbook=10_02.xlsx&amp;sheet=A0&amp;row=418&amp;col=10&amp;number=&amp;sourceID=32","")</f>
        <v/>
      </c>
      <c r="K418" s="4" t="str">
        <f>HYPERLINK("http://141.218.60.56/~jnz1568/getInfo.php?workbook=10_02.xlsx&amp;sheet=A0&amp;row=418&amp;col=11&amp;number=88319&amp;sourceID=46","88319")</f>
        <v>88319</v>
      </c>
      <c r="L418" s="4" t="str">
        <f>HYPERLINK("http://141.218.60.56/~jnz1568/getInfo.php?workbook=10_02.xlsx&amp;sheet=A0&amp;row=418&amp;col=12&amp;number=&amp;sourceID=47","")</f>
        <v/>
      </c>
    </row>
    <row r="419" spans="1:12">
      <c r="A419" s="3">
        <v>10</v>
      </c>
      <c r="B419" s="3">
        <v>2</v>
      </c>
      <c r="C419" s="3">
        <v>32</v>
      </c>
      <c r="D419" s="3">
        <v>26</v>
      </c>
      <c r="E419" s="3">
        <f>((1/(INDEX(E0!J$4:J$52,C419,1)-INDEX(E0!J$4:J$52,D419,1))))*100000000</f>
        <v>0</v>
      </c>
      <c r="F419" s="4" t="str">
        <f>HYPERLINK("http://141.218.60.56/~jnz1568/getInfo.php?workbook=10_02.xlsx&amp;sheet=A0&amp;row=419&amp;col=6&amp;number=&amp;sourceID=27","")</f>
        <v/>
      </c>
      <c r="G419" s="4" t="str">
        <f>HYPERLINK("http://141.218.60.56/~jnz1568/getInfo.php?workbook=10_02.xlsx&amp;sheet=A0&amp;row=419&amp;col=7&amp;number=&amp;sourceID=32","")</f>
        <v/>
      </c>
      <c r="H419" s="4" t="str">
        <f>HYPERLINK("http://141.218.60.56/~jnz1568/getInfo.php?workbook=10_02.xlsx&amp;sheet=A0&amp;row=419&amp;col=8&amp;number=&amp;sourceID=32","")</f>
        <v/>
      </c>
      <c r="I419" s="4" t="str">
        <f>HYPERLINK("http://141.218.60.56/~jnz1568/getInfo.php?workbook=10_02.xlsx&amp;sheet=A0&amp;row=419&amp;col=9&amp;number=&amp;sourceID=32","")</f>
        <v/>
      </c>
      <c r="J419" s="4" t="str">
        <f>HYPERLINK("http://141.218.60.56/~jnz1568/getInfo.php?workbook=10_02.xlsx&amp;sheet=A0&amp;row=419&amp;col=10&amp;number=1.039e-09&amp;sourceID=32","1.039e-09")</f>
        <v>1.039e-09</v>
      </c>
      <c r="K419" s="4" t="str">
        <f>HYPERLINK("http://141.218.60.56/~jnz1568/getInfo.php?workbook=10_02.xlsx&amp;sheet=A0&amp;row=419&amp;col=11&amp;number=&amp;sourceID=46","")</f>
        <v/>
      </c>
      <c r="L419" s="4" t="str">
        <f>HYPERLINK("http://141.218.60.56/~jnz1568/getInfo.php?workbook=10_02.xlsx&amp;sheet=A0&amp;row=419&amp;col=12&amp;number=&amp;sourceID=47","")</f>
        <v/>
      </c>
    </row>
    <row r="420" spans="1:12">
      <c r="A420" s="3">
        <v>10</v>
      </c>
      <c r="B420" s="3">
        <v>2</v>
      </c>
      <c r="C420" s="3">
        <v>32</v>
      </c>
      <c r="D420" s="3">
        <v>27</v>
      </c>
      <c r="E420" s="3">
        <f>((1/(INDEX(E0!J$4:J$52,C420,1)-INDEX(E0!J$4:J$52,D420,1))))*100000000</f>
        <v>0</v>
      </c>
      <c r="F420" s="4" t="str">
        <f>HYPERLINK("http://141.218.60.56/~jnz1568/getInfo.php?workbook=10_02.xlsx&amp;sheet=A0&amp;row=420&amp;col=6&amp;number=&amp;sourceID=27","")</f>
        <v/>
      </c>
      <c r="G420" s="4" t="str">
        <f>HYPERLINK("http://141.218.60.56/~jnz1568/getInfo.php?workbook=10_02.xlsx&amp;sheet=A0&amp;row=420&amp;col=7&amp;number=15.36&amp;sourceID=32","15.36")</f>
        <v>15.36</v>
      </c>
      <c r="H420" s="4" t="str">
        <f>HYPERLINK("http://141.218.60.56/~jnz1568/getInfo.php?workbook=10_02.xlsx&amp;sheet=A0&amp;row=420&amp;col=8&amp;number=&amp;sourceID=32","")</f>
        <v/>
      </c>
      <c r="I420" s="4" t="str">
        <f>HYPERLINK("http://141.218.60.56/~jnz1568/getInfo.php?workbook=10_02.xlsx&amp;sheet=A0&amp;row=420&amp;col=9&amp;number=&amp;sourceID=32","")</f>
        <v/>
      </c>
      <c r="J420" s="4" t="str">
        <f>HYPERLINK("http://141.218.60.56/~jnz1568/getInfo.php?workbook=10_02.xlsx&amp;sheet=A0&amp;row=420&amp;col=10&amp;number=1.455e-10&amp;sourceID=32","1.455e-10")</f>
        <v>1.455e-10</v>
      </c>
      <c r="K420" s="4" t="str">
        <f>HYPERLINK("http://141.218.60.56/~jnz1568/getInfo.php?workbook=10_02.xlsx&amp;sheet=A0&amp;row=420&amp;col=11&amp;number=20.073&amp;sourceID=46","20.073")</f>
        <v>20.073</v>
      </c>
      <c r="L420" s="4" t="str">
        <f>HYPERLINK("http://141.218.60.56/~jnz1568/getInfo.php?workbook=10_02.xlsx&amp;sheet=A0&amp;row=420&amp;col=12&amp;number=&amp;sourceID=47","")</f>
        <v/>
      </c>
    </row>
    <row r="421" spans="1:12">
      <c r="A421" s="3">
        <v>10</v>
      </c>
      <c r="B421" s="3">
        <v>2</v>
      </c>
      <c r="C421" s="3">
        <v>32</v>
      </c>
      <c r="D421" s="3">
        <v>29</v>
      </c>
      <c r="E421" s="3">
        <f>((1/(INDEX(E0!J$4:J$52,C421,1)-INDEX(E0!J$4:J$52,D421,1))))*100000000</f>
        <v>0</v>
      </c>
      <c r="F421" s="4" t="str">
        <f>HYPERLINK("http://141.218.60.56/~jnz1568/getInfo.php?workbook=10_02.xlsx&amp;sheet=A0&amp;row=421&amp;col=6&amp;number=&amp;sourceID=27","")</f>
        <v/>
      </c>
      <c r="G421" s="4" t="str">
        <f>HYPERLINK("http://141.218.60.56/~jnz1568/getInfo.php?workbook=10_02.xlsx&amp;sheet=A0&amp;row=421&amp;col=7&amp;number=&amp;sourceID=32","")</f>
        <v/>
      </c>
      <c r="H421" s="4" t="str">
        <f>HYPERLINK("http://141.218.60.56/~jnz1568/getInfo.php?workbook=10_02.xlsx&amp;sheet=A0&amp;row=421&amp;col=8&amp;number=1756&amp;sourceID=32","1756")</f>
        <v>1756</v>
      </c>
      <c r="I421" s="4" t="str">
        <f>HYPERLINK("http://141.218.60.56/~jnz1568/getInfo.php?workbook=10_02.xlsx&amp;sheet=A0&amp;row=421&amp;col=9&amp;number=5.117e-06&amp;sourceID=32","5.117e-06")</f>
        <v>5.117e-06</v>
      </c>
      <c r="J421" s="4" t="str">
        <f>HYPERLINK("http://141.218.60.56/~jnz1568/getInfo.php?workbook=10_02.xlsx&amp;sheet=A0&amp;row=421&amp;col=10&amp;number=&amp;sourceID=32","")</f>
        <v/>
      </c>
      <c r="K421" s="4" t="str">
        <f>HYPERLINK("http://141.218.60.56/~jnz1568/getInfo.php?workbook=10_02.xlsx&amp;sheet=A0&amp;row=421&amp;col=11&amp;number=1105.1&amp;sourceID=46","1105.1")</f>
        <v>1105.1</v>
      </c>
      <c r="L421" s="4" t="str">
        <f>HYPERLINK("http://141.218.60.56/~jnz1568/getInfo.php?workbook=10_02.xlsx&amp;sheet=A0&amp;row=421&amp;col=12&amp;number=&amp;sourceID=47","")</f>
        <v/>
      </c>
    </row>
    <row r="422" spans="1:12">
      <c r="A422" s="3">
        <v>10</v>
      </c>
      <c r="B422" s="3">
        <v>2</v>
      </c>
      <c r="C422" s="3">
        <v>32</v>
      </c>
      <c r="D422" s="3">
        <v>30</v>
      </c>
      <c r="E422" s="3">
        <f>((1/(INDEX(E0!J$4:J$52,C422,1)-INDEX(E0!J$4:J$52,D422,1))))*100000000</f>
        <v>0</v>
      </c>
      <c r="F422" s="4" t="str">
        <f>HYPERLINK("http://141.218.60.56/~jnz1568/getInfo.php?workbook=10_02.xlsx&amp;sheet=A0&amp;row=422&amp;col=6&amp;number=&amp;sourceID=27","")</f>
        <v/>
      </c>
      <c r="G422" s="4" t="str">
        <f>HYPERLINK("http://141.218.60.56/~jnz1568/getInfo.php?workbook=10_02.xlsx&amp;sheet=A0&amp;row=422&amp;col=7&amp;number=&amp;sourceID=32","")</f>
        <v/>
      </c>
      <c r="H422" s="4" t="str">
        <f>HYPERLINK("http://141.218.60.56/~jnz1568/getInfo.php?workbook=10_02.xlsx&amp;sheet=A0&amp;row=422&amp;col=8&amp;number=&amp;sourceID=32","")</f>
        <v/>
      </c>
      <c r="I422" s="4" t="str">
        <f>HYPERLINK("http://141.218.60.56/~jnz1568/getInfo.php?workbook=10_02.xlsx&amp;sheet=A0&amp;row=422&amp;col=9&amp;number=&amp;sourceID=32","")</f>
        <v/>
      </c>
      <c r="J422" s="4" t="str">
        <f>HYPERLINK("http://141.218.60.56/~jnz1568/getInfo.php?workbook=10_02.xlsx&amp;sheet=A0&amp;row=422&amp;col=10&amp;number=8.269e-09&amp;sourceID=32","8.269e-09")</f>
        <v>8.269e-09</v>
      </c>
      <c r="K422" s="4" t="str">
        <f>HYPERLINK("http://141.218.60.56/~jnz1568/getInfo.php?workbook=10_02.xlsx&amp;sheet=A0&amp;row=422&amp;col=11&amp;number=&amp;sourceID=46","")</f>
        <v/>
      </c>
      <c r="L422" s="4" t="str">
        <f>HYPERLINK("http://141.218.60.56/~jnz1568/getInfo.php?workbook=10_02.xlsx&amp;sheet=A0&amp;row=422&amp;col=12&amp;number=&amp;sourceID=47","")</f>
        <v/>
      </c>
    </row>
    <row r="423" spans="1:12">
      <c r="A423" s="3">
        <v>10</v>
      </c>
      <c r="B423" s="3">
        <v>2</v>
      </c>
      <c r="C423" s="3">
        <v>32</v>
      </c>
      <c r="D423" s="3">
        <v>31</v>
      </c>
      <c r="E423" s="3">
        <f>((1/(INDEX(E0!J$4:J$52,C423,1)-INDEX(E0!J$4:J$52,D423,1))))*100000000</f>
        <v>0</v>
      </c>
      <c r="F423" s="4" t="str">
        <f>HYPERLINK("http://141.218.60.56/~jnz1568/getInfo.php?workbook=10_02.xlsx&amp;sheet=A0&amp;row=423&amp;col=6&amp;number=&amp;sourceID=27","")</f>
        <v/>
      </c>
      <c r="G423" s="4" t="str">
        <f>HYPERLINK("http://141.218.60.56/~jnz1568/getInfo.php?workbook=10_02.xlsx&amp;sheet=A0&amp;row=423&amp;col=7&amp;number=1392000&amp;sourceID=32","1392000")</f>
        <v>1392000</v>
      </c>
      <c r="H423" s="4" t="str">
        <f>HYPERLINK("http://141.218.60.56/~jnz1568/getInfo.php?workbook=10_02.xlsx&amp;sheet=A0&amp;row=423&amp;col=8&amp;number=&amp;sourceID=32","")</f>
        <v/>
      </c>
      <c r="I423" s="4" t="str">
        <f>HYPERLINK("http://141.218.60.56/~jnz1568/getInfo.php?workbook=10_02.xlsx&amp;sheet=A0&amp;row=423&amp;col=9&amp;number=&amp;sourceID=32","")</f>
        <v/>
      </c>
      <c r="J423" s="4" t="str">
        <f>HYPERLINK("http://141.218.60.56/~jnz1568/getInfo.php?workbook=10_02.xlsx&amp;sheet=A0&amp;row=423&amp;col=10&amp;number=0.5786&amp;sourceID=32","0.5786")</f>
        <v>0.5786</v>
      </c>
      <c r="K423" s="4" t="str">
        <f>HYPERLINK("http://141.218.60.56/~jnz1568/getInfo.php?workbook=10_02.xlsx&amp;sheet=A0&amp;row=423&amp;col=11&amp;number=867760&amp;sourceID=46","867760")</f>
        <v>867760</v>
      </c>
      <c r="L423" s="4" t="str">
        <f>HYPERLINK("http://141.218.60.56/~jnz1568/getInfo.php?workbook=10_02.xlsx&amp;sheet=A0&amp;row=423&amp;col=12&amp;number=&amp;sourceID=47","")</f>
        <v/>
      </c>
    </row>
    <row r="424" spans="1:12">
      <c r="A424" s="3">
        <v>10</v>
      </c>
      <c r="B424" s="3">
        <v>2</v>
      </c>
      <c r="C424" s="3">
        <v>33</v>
      </c>
      <c r="D424" s="3">
        <v>2</v>
      </c>
      <c r="E424" s="3">
        <f>((1/(INDEX(E0!J$4:J$52,C424,1)-INDEX(E0!J$4:J$52,D424,1))))*100000000</f>
        <v>0</v>
      </c>
      <c r="F424" s="4" t="str">
        <f>HYPERLINK("http://141.218.60.56/~jnz1568/getInfo.php?workbook=10_02.xlsx&amp;sheet=A0&amp;row=424&amp;col=6&amp;number=&amp;sourceID=27","")</f>
        <v/>
      </c>
      <c r="G424" s="4" t="str">
        <f>HYPERLINK("http://141.218.60.56/~jnz1568/getInfo.php?workbook=10_02.xlsx&amp;sheet=A0&amp;row=424&amp;col=7&amp;number=33610000000&amp;sourceID=32","33610000000")</f>
        <v>33610000000</v>
      </c>
      <c r="H424" s="4" t="str">
        <f>HYPERLINK("http://141.218.60.56/~jnz1568/getInfo.php?workbook=10_02.xlsx&amp;sheet=A0&amp;row=424&amp;col=8&amp;number=&amp;sourceID=32","")</f>
        <v/>
      </c>
      <c r="I424" s="4" t="str">
        <f>HYPERLINK("http://141.218.60.56/~jnz1568/getInfo.php?workbook=10_02.xlsx&amp;sheet=A0&amp;row=424&amp;col=9&amp;number=&amp;sourceID=32","")</f>
        <v/>
      </c>
      <c r="J424" s="4" t="str">
        <f>HYPERLINK("http://141.218.60.56/~jnz1568/getInfo.php?workbook=10_02.xlsx&amp;sheet=A0&amp;row=424&amp;col=10&amp;number=&amp;sourceID=32","")</f>
        <v/>
      </c>
      <c r="K424" s="4" t="str">
        <f>HYPERLINK("http://141.218.60.56/~jnz1568/getInfo.php?workbook=10_02.xlsx&amp;sheet=A0&amp;row=424&amp;col=11&amp;number=31782000000&amp;sourceID=46","31782000000")</f>
        <v>31782000000</v>
      </c>
      <c r="L424" s="4" t="str">
        <f>HYPERLINK("http://141.218.60.56/~jnz1568/getInfo.php?workbook=10_02.xlsx&amp;sheet=A0&amp;row=424&amp;col=12&amp;number=&amp;sourceID=47","")</f>
        <v/>
      </c>
    </row>
    <row r="425" spans="1:12">
      <c r="A425" s="3">
        <v>10</v>
      </c>
      <c r="B425" s="3">
        <v>2</v>
      </c>
      <c r="C425" s="3">
        <v>33</v>
      </c>
      <c r="D425" s="3">
        <v>4</v>
      </c>
      <c r="E425" s="3">
        <f>((1/(INDEX(E0!J$4:J$52,C425,1)-INDEX(E0!J$4:J$52,D425,1))))*100000000</f>
        <v>0</v>
      </c>
      <c r="F425" s="4" t="str">
        <f>HYPERLINK("http://141.218.60.56/~jnz1568/getInfo.php?workbook=10_02.xlsx&amp;sheet=A0&amp;row=425&amp;col=6&amp;number=&amp;sourceID=27","")</f>
        <v/>
      </c>
      <c r="G425" s="4" t="str">
        <f>HYPERLINK("http://141.218.60.56/~jnz1568/getInfo.php?workbook=10_02.xlsx&amp;sheet=A0&amp;row=425&amp;col=7&amp;number=&amp;sourceID=32","")</f>
        <v/>
      </c>
      <c r="H425" s="4" t="str">
        <f>HYPERLINK("http://141.218.60.56/~jnz1568/getInfo.php?workbook=10_02.xlsx&amp;sheet=A0&amp;row=425&amp;col=8&amp;number=&amp;sourceID=32","")</f>
        <v/>
      </c>
      <c r="I425" s="4" t="str">
        <f>HYPERLINK("http://141.218.60.56/~jnz1568/getInfo.php?workbook=10_02.xlsx&amp;sheet=A0&amp;row=425&amp;col=9&amp;number=0.04369&amp;sourceID=32","0.04369")</f>
        <v>0.04369</v>
      </c>
      <c r="J425" s="4" t="str">
        <f>HYPERLINK("http://141.218.60.56/~jnz1568/getInfo.php?workbook=10_02.xlsx&amp;sheet=A0&amp;row=425&amp;col=10&amp;number=&amp;sourceID=32","")</f>
        <v/>
      </c>
      <c r="K425" s="4" t="str">
        <f>HYPERLINK("http://141.218.60.56/~jnz1568/getInfo.php?workbook=10_02.xlsx&amp;sheet=A0&amp;row=425&amp;col=11&amp;number=&amp;sourceID=46","")</f>
        <v/>
      </c>
      <c r="L425" s="4" t="str">
        <f>HYPERLINK("http://141.218.60.56/~jnz1568/getInfo.php?workbook=10_02.xlsx&amp;sheet=A0&amp;row=425&amp;col=12&amp;number=&amp;sourceID=47","")</f>
        <v/>
      </c>
    </row>
    <row r="426" spans="1:12">
      <c r="A426" s="3">
        <v>10</v>
      </c>
      <c r="B426" s="3">
        <v>2</v>
      </c>
      <c r="C426" s="3">
        <v>33</v>
      </c>
      <c r="D426" s="3">
        <v>5</v>
      </c>
      <c r="E426" s="3">
        <f>((1/(INDEX(E0!J$4:J$52,C426,1)-INDEX(E0!J$4:J$52,D426,1))))*100000000</f>
        <v>0</v>
      </c>
      <c r="F426" s="4" t="str">
        <f>HYPERLINK("http://141.218.60.56/~jnz1568/getInfo.php?workbook=10_02.xlsx&amp;sheet=A0&amp;row=426&amp;col=6&amp;number=&amp;sourceID=27","")</f>
        <v/>
      </c>
      <c r="G426" s="4" t="str">
        <f>HYPERLINK("http://141.218.60.56/~jnz1568/getInfo.php?workbook=10_02.xlsx&amp;sheet=A0&amp;row=426&amp;col=7&amp;number=&amp;sourceID=32","")</f>
        <v/>
      </c>
      <c r="H426" s="4" t="str">
        <f>HYPERLINK("http://141.218.60.56/~jnz1568/getInfo.php?workbook=10_02.xlsx&amp;sheet=A0&amp;row=426&amp;col=8&amp;number=2914000&amp;sourceID=32","2914000")</f>
        <v>2914000</v>
      </c>
      <c r="I426" s="4" t="str">
        <f>HYPERLINK("http://141.218.60.56/~jnz1568/getInfo.php?workbook=10_02.xlsx&amp;sheet=A0&amp;row=426&amp;col=9&amp;number=&amp;sourceID=32","")</f>
        <v/>
      </c>
      <c r="J426" s="4" t="str">
        <f>HYPERLINK("http://141.218.60.56/~jnz1568/getInfo.php?workbook=10_02.xlsx&amp;sheet=A0&amp;row=426&amp;col=10&amp;number=&amp;sourceID=32","")</f>
        <v/>
      </c>
      <c r="K426" s="4" t="str">
        <f>HYPERLINK("http://141.218.60.56/~jnz1568/getInfo.php?workbook=10_02.xlsx&amp;sheet=A0&amp;row=426&amp;col=11&amp;number=2484300&amp;sourceID=46","2484300")</f>
        <v>2484300</v>
      </c>
      <c r="L426" s="4" t="str">
        <f>HYPERLINK("http://141.218.60.56/~jnz1568/getInfo.php?workbook=10_02.xlsx&amp;sheet=A0&amp;row=426&amp;col=12&amp;number=&amp;sourceID=47","")</f>
        <v/>
      </c>
    </row>
    <row r="427" spans="1:12">
      <c r="A427" s="3">
        <v>10</v>
      </c>
      <c r="B427" s="3">
        <v>2</v>
      </c>
      <c r="C427" s="3">
        <v>33</v>
      </c>
      <c r="D427" s="3">
        <v>7</v>
      </c>
      <c r="E427" s="3">
        <f>((1/(INDEX(E0!J$4:J$52,C427,1)-INDEX(E0!J$4:J$52,D427,1))))*100000000</f>
        <v>0</v>
      </c>
      <c r="F427" s="4" t="str">
        <f>HYPERLINK("http://141.218.60.56/~jnz1568/getInfo.php?workbook=10_02.xlsx&amp;sheet=A0&amp;row=427&amp;col=6&amp;number=&amp;sourceID=27","")</f>
        <v/>
      </c>
      <c r="G427" s="4" t="str">
        <f>HYPERLINK("http://141.218.60.56/~jnz1568/getInfo.php?workbook=10_02.xlsx&amp;sheet=A0&amp;row=427&amp;col=7&amp;number=&amp;sourceID=32","")</f>
        <v/>
      </c>
      <c r="H427" s="4" t="str">
        <f>HYPERLINK("http://141.218.60.56/~jnz1568/getInfo.php?workbook=10_02.xlsx&amp;sheet=A0&amp;row=427&amp;col=8&amp;number=&amp;sourceID=32","")</f>
        <v/>
      </c>
      <c r="I427" s="4" t="str">
        <f>HYPERLINK("http://141.218.60.56/~jnz1568/getInfo.php?workbook=10_02.xlsx&amp;sheet=A0&amp;row=427&amp;col=9&amp;number=19.15&amp;sourceID=32","19.15")</f>
        <v>19.15</v>
      </c>
      <c r="J427" s="4" t="str">
        <f>HYPERLINK("http://141.218.60.56/~jnz1568/getInfo.php?workbook=10_02.xlsx&amp;sheet=A0&amp;row=427&amp;col=10&amp;number=&amp;sourceID=32","")</f>
        <v/>
      </c>
      <c r="K427" s="4" t="str">
        <f>HYPERLINK("http://141.218.60.56/~jnz1568/getInfo.php?workbook=10_02.xlsx&amp;sheet=A0&amp;row=427&amp;col=11&amp;number=13.676&amp;sourceID=46","13.676")</f>
        <v>13.676</v>
      </c>
      <c r="L427" s="4" t="str">
        <f>HYPERLINK("http://141.218.60.56/~jnz1568/getInfo.php?workbook=10_02.xlsx&amp;sheet=A0&amp;row=427&amp;col=12&amp;number=&amp;sourceID=47","")</f>
        <v/>
      </c>
    </row>
    <row r="428" spans="1:12">
      <c r="A428" s="3">
        <v>10</v>
      </c>
      <c r="B428" s="3">
        <v>2</v>
      </c>
      <c r="C428" s="3">
        <v>33</v>
      </c>
      <c r="D428" s="3">
        <v>8</v>
      </c>
      <c r="E428" s="3">
        <f>((1/(INDEX(E0!J$4:J$52,C428,1)-INDEX(E0!J$4:J$52,D428,1))))*100000000</f>
        <v>0</v>
      </c>
      <c r="F428" s="4" t="str">
        <f>HYPERLINK("http://141.218.60.56/~jnz1568/getInfo.php?workbook=10_02.xlsx&amp;sheet=A0&amp;row=428&amp;col=6&amp;number=&amp;sourceID=27","")</f>
        <v/>
      </c>
      <c r="G428" s="4" t="str">
        <f>HYPERLINK("http://141.218.60.56/~jnz1568/getInfo.php?workbook=10_02.xlsx&amp;sheet=A0&amp;row=428&amp;col=7&amp;number=10400000000&amp;sourceID=32","10400000000")</f>
        <v>10400000000</v>
      </c>
      <c r="H428" s="4" t="str">
        <f>HYPERLINK("http://141.218.60.56/~jnz1568/getInfo.php?workbook=10_02.xlsx&amp;sheet=A0&amp;row=428&amp;col=8&amp;number=&amp;sourceID=32","")</f>
        <v/>
      </c>
      <c r="I428" s="4" t="str">
        <f>HYPERLINK("http://141.218.60.56/~jnz1568/getInfo.php?workbook=10_02.xlsx&amp;sheet=A0&amp;row=428&amp;col=9&amp;number=&amp;sourceID=32","")</f>
        <v/>
      </c>
      <c r="J428" s="4" t="str">
        <f>HYPERLINK("http://141.218.60.56/~jnz1568/getInfo.php?workbook=10_02.xlsx&amp;sheet=A0&amp;row=428&amp;col=10&amp;number=&amp;sourceID=32","")</f>
        <v/>
      </c>
      <c r="K428" s="4" t="str">
        <f>HYPERLINK("http://141.218.60.56/~jnz1568/getInfo.php?workbook=10_02.xlsx&amp;sheet=A0&amp;row=428&amp;col=11&amp;number=10166000000&amp;sourceID=46","10166000000")</f>
        <v>10166000000</v>
      </c>
      <c r="L428" s="4" t="str">
        <f>HYPERLINK("http://141.218.60.56/~jnz1568/getInfo.php?workbook=10_02.xlsx&amp;sheet=A0&amp;row=428&amp;col=12&amp;number=&amp;sourceID=47","")</f>
        <v/>
      </c>
    </row>
    <row r="429" spans="1:12">
      <c r="A429" s="3">
        <v>10</v>
      </c>
      <c r="B429" s="3">
        <v>2</v>
      </c>
      <c r="C429" s="3">
        <v>33</v>
      </c>
      <c r="D429" s="3">
        <v>10</v>
      </c>
      <c r="E429" s="3">
        <f>((1/(INDEX(E0!J$4:J$52,C429,1)-INDEX(E0!J$4:J$52,D429,1))))*100000000</f>
        <v>0</v>
      </c>
      <c r="F429" s="4" t="str">
        <f>HYPERLINK("http://141.218.60.56/~jnz1568/getInfo.php?workbook=10_02.xlsx&amp;sheet=A0&amp;row=429&amp;col=6&amp;number=&amp;sourceID=27","")</f>
        <v/>
      </c>
      <c r="G429" s="4" t="str">
        <f>HYPERLINK("http://141.218.60.56/~jnz1568/getInfo.php?workbook=10_02.xlsx&amp;sheet=A0&amp;row=429&amp;col=7&amp;number=&amp;sourceID=32","")</f>
        <v/>
      </c>
      <c r="H429" s="4" t="str">
        <f>HYPERLINK("http://141.218.60.56/~jnz1568/getInfo.php?workbook=10_02.xlsx&amp;sheet=A0&amp;row=429&amp;col=8&amp;number=&amp;sourceID=32","")</f>
        <v/>
      </c>
      <c r="I429" s="4" t="str">
        <f>HYPERLINK("http://141.218.60.56/~jnz1568/getInfo.php?workbook=10_02.xlsx&amp;sheet=A0&amp;row=429&amp;col=9&amp;number=0.03046&amp;sourceID=32","0.03046")</f>
        <v>0.03046</v>
      </c>
      <c r="J429" s="4" t="str">
        <f>HYPERLINK("http://141.218.60.56/~jnz1568/getInfo.php?workbook=10_02.xlsx&amp;sheet=A0&amp;row=429&amp;col=10&amp;number=&amp;sourceID=32","")</f>
        <v/>
      </c>
      <c r="K429" s="4" t="str">
        <f>HYPERLINK("http://141.218.60.56/~jnz1568/getInfo.php?workbook=10_02.xlsx&amp;sheet=A0&amp;row=429&amp;col=11&amp;number=&amp;sourceID=46","")</f>
        <v/>
      </c>
      <c r="L429" s="4" t="str">
        <f>HYPERLINK("http://141.218.60.56/~jnz1568/getInfo.php?workbook=10_02.xlsx&amp;sheet=A0&amp;row=429&amp;col=12&amp;number=&amp;sourceID=47","")</f>
        <v/>
      </c>
    </row>
    <row r="430" spans="1:12">
      <c r="A430" s="3">
        <v>10</v>
      </c>
      <c r="B430" s="3">
        <v>2</v>
      </c>
      <c r="C430" s="3">
        <v>33</v>
      </c>
      <c r="D430" s="3">
        <v>12</v>
      </c>
      <c r="E430" s="3">
        <f>((1/(INDEX(E0!J$4:J$52,C430,1)-INDEX(E0!J$4:J$52,D430,1))))*100000000</f>
        <v>0</v>
      </c>
      <c r="F430" s="4" t="str">
        <f>HYPERLINK("http://141.218.60.56/~jnz1568/getInfo.php?workbook=10_02.xlsx&amp;sheet=A0&amp;row=430&amp;col=6&amp;number=&amp;sourceID=27","")</f>
        <v/>
      </c>
      <c r="G430" s="4" t="str">
        <f>HYPERLINK("http://141.218.60.56/~jnz1568/getInfo.php?workbook=10_02.xlsx&amp;sheet=A0&amp;row=430&amp;col=7&amp;number=&amp;sourceID=32","")</f>
        <v/>
      </c>
      <c r="H430" s="4" t="str">
        <f>HYPERLINK("http://141.218.60.56/~jnz1568/getInfo.php?workbook=10_02.xlsx&amp;sheet=A0&amp;row=430&amp;col=8&amp;number=783700&amp;sourceID=32","783700")</f>
        <v>783700</v>
      </c>
      <c r="I430" s="4" t="str">
        <f>HYPERLINK("http://141.218.60.56/~jnz1568/getInfo.php?workbook=10_02.xlsx&amp;sheet=A0&amp;row=430&amp;col=9&amp;number=&amp;sourceID=32","")</f>
        <v/>
      </c>
      <c r="J430" s="4" t="str">
        <f>HYPERLINK("http://141.218.60.56/~jnz1568/getInfo.php?workbook=10_02.xlsx&amp;sheet=A0&amp;row=430&amp;col=10&amp;number=&amp;sourceID=32","")</f>
        <v/>
      </c>
      <c r="K430" s="4" t="str">
        <f>HYPERLINK("http://141.218.60.56/~jnz1568/getInfo.php?workbook=10_02.xlsx&amp;sheet=A0&amp;row=430&amp;col=11&amp;number=766270&amp;sourceID=46","766270")</f>
        <v>766270</v>
      </c>
      <c r="L430" s="4" t="str">
        <f>HYPERLINK("http://141.218.60.56/~jnz1568/getInfo.php?workbook=10_02.xlsx&amp;sheet=A0&amp;row=430&amp;col=12&amp;number=&amp;sourceID=47","")</f>
        <v/>
      </c>
    </row>
    <row r="431" spans="1:12">
      <c r="A431" s="3">
        <v>10</v>
      </c>
      <c r="B431" s="3">
        <v>2</v>
      </c>
      <c r="C431" s="3">
        <v>33</v>
      </c>
      <c r="D431" s="3">
        <v>13</v>
      </c>
      <c r="E431" s="3">
        <f>((1/(INDEX(E0!J$4:J$52,C431,1)-INDEX(E0!J$4:J$52,D431,1))))*100000000</f>
        <v>0</v>
      </c>
      <c r="F431" s="4" t="str">
        <f>HYPERLINK("http://141.218.60.56/~jnz1568/getInfo.php?workbook=10_02.xlsx&amp;sheet=A0&amp;row=431&amp;col=6&amp;number=&amp;sourceID=27","")</f>
        <v/>
      </c>
      <c r="G431" s="4" t="str">
        <f>HYPERLINK("http://141.218.60.56/~jnz1568/getInfo.php?workbook=10_02.xlsx&amp;sheet=A0&amp;row=431&amp;col=7&amp;number=1186000000&amp;sourceID=32","1186000000")</f>
        <v>1186000000</v>
      </c>
      <c r="H431" s="4" t="str">
        <f>HYPERLINK("http://141.218.60.56/~jnz1568/getInfo.php?workbook=10_02.xlsx&amp;sheet=A0&amp;row=431&amp;col=8&amp;number=&amp;sourceID=32","")</f>
        <v/>
      </c>
      <c r="I431" s="4" t="str">
        <f>HYPERLINK("http://141.218.60.56/~jnz1568/getInfo.php?workbook=10_02.xlsx&amp;sheet=A0&amp;row=431&amp;col=9&amp;number=&amp;sourceID=32","")</f>
        <v/>
      </c>
      <c r="J431" s="4" t="str">
        <f>HYPERLINK("http://141.218.60.56/~jnz1568/getInfo.php?workbook=10_02.xlsx&amp;sheet=A0&amp;row=431&amp;col=10&amp;number=&amp;sourceID=32","")</f>
        <v/>
      </c>
      <c r="K431" s="4" t="str">
        <f>HYPERLINK("http://141.218.60.56/~jnz1568/getInfo.php?workbook=10_02.xlsx&amp;sheet=A0&amp;row=431&amp;col=11&amp;number=1183900000&amp;sourceID=46","1183900000")</f>
        <v>1183900000</v>
      </c>
      <c r="L431" s="4" t="str">
        <f>HYPERLINK("http://141.218.60.56/~jnz1568/getInfo.php?workbook=10_02.xlsx&amp;sheet=A0&amp;row=431&amp;col=12&amp;number=&amp;sourceID=47","")</f>
        <v/>
      </c>
    </row>
    <row r="432" spans="1:12">
      <c r="A432" s="3">
        <v>10</v>
      </c>
      <c r="B432" s="3">
        <v>2</v>
      </c>
      <c r="C432" s="3">
        <v>33</v>
      </c>
      <c r="D432" s="3">
        <v>14</v>
      </c>
      <c r="E432" s="3">
        <f>((1/(INDEX(E0!J$4:J$52,C432,1)-INDEX(E0!J$4:J$52,D432,1))))*100000000</f>
        <v>0</v>
      </c>
      <c r="F432" s="4" t="str">
        <f>HYPERLINK("http://141.218.60.56/~jnz1568/getInfo.php?workbook=10_02.xlsx&amp;sheet=A0&amp;row=432&amp;col=6&amp;number=&amp;sourceID=27","")</f>
        <v/>
      </c>
      <c r="G432" s="4" t="str">
        <f>HYPERLINK("http://141.218.60.56/~jnz1568/getInfo.php?workbook=10_02.xlsx&amp;sheet=A0&amp;row=432&amp;col=7&amp;number=&amp;sourceID=32","")</f>
        <v/>
      </c>
      <c r="H432" s="4" t="str">
        <f>HYPERLINK("http://141.218.60.56/~jnz1568/getInfo.php?workbook=10_02.xlsx&amp;sheet=A0&amp;row=432&amp;col=8&amp;number=&amp;sourceID=32","")</f>
        <v/>
      </c>
      <c r="I432" s="4" t="str">
        <f>HYPERLINK("http://141.218.60.56/~jnz1568/getInfo.php?workbook=10_02.xlsx&amp;sheet=A0&amp;row=432&amp;col=9&amp;number=&amp;sourceID=32","")</f>
        <v/>
      </c>
      <c r="J432" s="4" t="str">
        <f>HYPERLINK("http://141.218.60.56/~jnz1568/getInfo.php?workbook=10_02.xlsx&amp;sheet=A0&amp;row=432&amp;col=10&amp;number=0.07803&amp;sourceID=32","0.07803")</f>
        <v>0.07803</v>
      </c>
      <c r="K432" s="4" t="str">
        <f>HYPERLINK("http://141.218.60.56/~jnz1568/getInfo.php?workbook=10_02.xlsx&amp;sheet=A0&amp;row=432&amp;col=11&amp;number=&amp;sourceID=46","")</f>
        <v/>
      </c>
      <c r="L432" s="4" t="str">
        <f>HYPERLINK("http://141.218.60.56/~jnz1568/getInfo.php?workbook=10_02.xlsx&amp;sheet=A0&amp;row=432&amp;col=12&amp;number=&amp;sourceID=47","")</f>
        <v/>
      </c>
    </row>
    <row r="433" spans="1:12">
      <c r="A433" s="3">
        <v>10</v>
      </c>
      <c r="B433" s="3">
        <v>2</v>
      </c>
      <c r="C433" s="3">
        <v>33</v>
      </c>
      <c r="D433" s="3">
        <v>15</v>
      </c>
      <c r="E433" s="3">
        <f>((1/(INDEX(E0!J$4:J$52,C433,1)-INDEX(E0!J$4:J$52,D433,1))))*100000000</f>
        <v>0</v>
      </c>
      <c r="F433" s="4" t="str">
        <f>HYPERLINK("http://141.218.60.56/~jnz1568/getInfo.php?workbook=10_02.xlsx&amp;sheet=A0&amp;row=433&amp;col=6&amp;number=&amp;sourceID=27","")</f>
        <v/>
      </c>
      <c r="G433" s="4" t="str">
        <f>HYPERLINK("http://141.218.60.56/~jnz1568/getInfo.php?workbook=10_02.xlsx&amp;sheet=A0&amp;row=433&amp;col=7&amp;number=&amp;sourceID=32","")</f>
        <v/>
      </c>
      <c r="H433" s="4" t="str">
        <f>HYPERLINK("http://141.218.60.56/~jnz1568/getInfo.php?workbook=10_02.xlsx&amp;sheet=A0&amp;row=433&amp;col=8&amp;number=&amp;sourceID=32","")</f>
        <v/>
      </c>
      <c r="I433" s="4" t="str">
        <f>HYPERLINK("http://141.218.60.56/~jnz1568/getInfo.php?workbook=10_02.xlsx&amp;sheet=A0&amp;row=433&amp;col=9&amp;number=&amp;sourceID=32","")</f>
        <v/>
      </c>
      <c r="J433" s="4" t="str">
        <f>HYPERLINK("http://141.218.60.56/~jnz1568/getInfo.php?workbook=10_02.xlsx&amp;sheet=A0&amp;row=433&amp;col=10&amp;number=&amp;sourceID=32","")</f>
        <v/>
      </c>
      <c r="K433" s="4" t="str">
        <f>HYPERLINK("http://141.218.60.56/~jnz1568/getInfo.php?workbook=10_02.xlsx&amp;sheet=A0&amp;row=433&amp;col=11&amp;number=8.8432&amp;sourceID=46","8.8432")</f>
        <v>8.8432</v>
      </c>
      <c r="L433" s="4" t="str">
        <f>HYPERLINK("http://141.218.60.56/~jnz1568/getInfo.php?workbook=10_02.xlsx&amp;sheet=A0&amp;row=433&amp;col=12&amp;number=&amp;sourceID=47","")</f>
        <v/>
      </c>
    </row>
    <row r="434" spans="1:12">
      <c r="A434" s="3">
        <v>10</v>
      </c>
      <c r="B434" s="3">
        <v>2</v>
      </c>
      <c r="C434" s="3">
        <v>33</v>
      </c>
      <c r="D434" s="3">
        <v>16</v>
      </c>
      <c r="E434" s="3">
        <f>((1/(INDEX(E0!J$4:J$52,C434,1)-INDEX(E0!J$4:J$52,D434,1))))*100000000</f>
        <v>0</v>
      </c>
      <c r="F434" s="4" t="str">
        <f>HYPERLINK("http://141.218.60.56/~jnz1568/getInfo.php?workbook=10_02.xlsx&amp;sheet=A0&amp;row=434&amp;col=6&amp;number=&amp;sourceID=27","")</f>
        <v/>
      </c>
      <c r="G434" s="4" t="str">
        <f>HYPERLINK("http://141.218.60.56/~jnz1568/getInfo.php?workbook=10_02.xlsx&amp;sheet=A0&amp;row=434&amp;col=7&amp;number=&amp;sourceID=32","")</f>
        <v/>
      </c>
      <c r="H434" s="4" t="str">
        <f>HYPERLINK("http://141.218.60.56/~jnz1568/getInfo.php?workbook=10_02.xlsx&amp;sheet=A0&amp;row=434&amp;col=8&amp;number=&amp;sourceID=32","")</f>
        <v/>
      </c>
      <c r="I434" s="4" t="str">
        <f>HYPERLINK("http://141.218.60.56/~jnz1568/getInfo.php?workbook=10_02.xlsx&amp;sheet=A0&amp;row=434&amp;col=9&amp;number=&amp;sourceID=32","")</f>
        <v/>
      </c>
      <c r="J434" s="4" t="str">
        <f>HYPERLINK("http://141.218.60.56/~jnz1568/getInfo.php?workbook=10_02.xlsx&amp;sheet=A0&amp;row=434&amp;col=10&amp;number=2.372&amp;sourceID=32","2.372")</f>
        <v>2.372</v>
      </c>
      <c r="K434" s="4" t="str">
        <f>HYPERLINK("http://141.218.60.56/~jnz1568/getInfo.php?workbook=10_02.xlsx&amp;sheet=A0&amp;row=434&amp;col=11&amp;number=2.366&amp;sourceID=46","2.366")</f>
        <v>2.366</v>
      </c>
      <c r="L434" s="4" t="str">
        <f>HYPERLINK("http://141.218.60.56/~jnz1568/getInfo.php?workbook=10_02.xlsx&amp;sheet=A0&amp;row=434&amp;col=12&amp;number=&amp;sourceID=47","")</f>
        <v/>
      </c>
    </row>
    <row r="435" spans="1:12">
      <c r="A435" s="3">
        <v>10</v>
      </c>
      <c r="B435" s="3">
        <v>2</v>
      </c>
      <c r="C435" s="3">
        <v>33</v>
      </c>
      <c r="D435" s="3">
        <v>17</v>
      </c>
      <c r="E435" s="3">
        <f>((1/(INDEX(E0!J$4:J$52,C435,1)-INDEX(E0!J$4:J$52,D435,1))))*100000000</f>
        <v>0</v>
      </c>
      <c r="F435" s="4" t="str">
        <f>HYPERLINK("http://141.218.60.56/~jnz1568/getInfo.php?workbook=10_02.xlsx&amp;sheet=A0&amp;row=435&amp;col=6&amp;number=&amp;sourceID=27","")</f>
        <v/>
      </c>
      <c r="G435" s="4" t="str">
        <f>HYPERLINK("http://141.218.60.56/~jnz1568/getInfo.php?workbook=10_02.xlsx&amp;sheet=A0&amp;row=435&amp;col=7&amp;number=&amp;sourceID=32","")</f>
        <v/>
      </c>
      <c r="H435" s="4" t="str">
        <f>HYPERLINK("http://141.218.60.56/~jnz1568/getInfo.php?workbook=10_02.xlsx&amp;sheet=A0&amp;row=435&amp;col=8&amp;number=&amp;sourceID=32","")</f>
        <v/>
      </c>
      <c r="I435" s="4" t="str">
        <f>HYPERLINK("http://141.218.60.56/~jnz1568/getInfo.php?workbook=10_02.xlsx&amp;sheet=A0&amp;row=435&amp;col=9&amp;number=1.716&amp;sourceID=32","1.716")</f>
        <v>1.716</v>
      </c>
      <c r="J435" s="4" t="str">
        <f>HYPERLINK("http://141.218.60.56/~jnz1568/getInfo.php?workbook=10_02.xlsx&amp;sheet=A0&amp;row=435&amp;col=10&amp;number=&amp;sourceID=32","")</f>
        <v/>
      </c>
      <c r="K435" s="4" t="str">
        <f>HYPERLINK("http://141.218.60.56/~jnz1568/getInfo.php?workbook=10_02.xlsx&amp;sheet=A0&amp;row=435&amp;col=11&amp;number=1.2912&amp;sourceID=46","1.2912")</f>
        <v>1.2912</v>
      </c>
      <c r="L435" s="4" t="str">
        <f>HYPERLINK("http://141.218.60.56/~jnz1568/getInfo.php?workbook=10_02.xlsx&amp;sheet=A0&amp;row=435&amp;col=12&amp;number=&amp;sourceID=47","")</f>
        <v/>
      </c>
    </row>
    <row r="436" spans="1:12">
      <c r="A436" s="3">
        <v>10</v>
      </c>
      <c r="B436" s="3">
        <v>2</v>
      </c>
      <c r="C436" s="3">
        <v>33</v>
      </c>
      <c r="D436" s="3">
        <v>18</v>
      </c>
      <c r="E436" s="3">
        <f>((1/(INDEX(E0!J$4:J$52,C436,1)-INDEX(E0!J$4:J$52,D436,1))))*100000000</f>
        <v>0</v>
      </c>
      <c r="F436" s="4" t="str">
        <f>HYPERLINK("http://141.218.60.56/~jnz1568/getInfo.php?workbook=10_02.xlsx&amp;sheet=A0&amp;row=436&amp;col=6&amp;number=&amp;sourceID=27","")</f>
        <v/>
      </c>
      <c r="G436" s="4" t="str">
        <f>HYPERLINK("http://141.218.60.56/~jnz1568/getInfo.php?workbook=10_02.xlsx&amp;sheet=A0&amp;row=436&amp;col=7&amp;number=4402000000&amp;sourceID=32","4402000000")</f>
        <v>4402000000</v>
      </c>
      <c r="H436" s="4" t="str">
        <f>HYPERLINK("http://141.218.60.56/~jnz1568/getInfo.php?workbook=10_02.xlsx&amp;sheet=A0&amp;row=436&amp;col=8&amp;number=&amp;sourceID=32","")</f>
        <v/>
      </c>
      <c r="I436" s="4" t="str">
        <f>HYPERLINK("http://141.218.60.56/~jnz1568/getInfo.php?workbook=10_02.xlsx&amp;sheet=A0&amp;row=436&amp;col=9&amp;number=&amp;sourceID=32","")</f>
        <v/>
      </c>
      <c r="J436" s="4" t="str">
        <f>HYPERLINK("http://141.218.60.56/~jnz1568/getInfo.php?workbook=10_02.xlsx&amp;sheet=A0&amp;row=436&amp;col=10&amp;number=&amp;sourceID=32","")</f>
        <v/>
      </c>
      <c r="K436" s="4" t="str">
        <f>HYPERLINK("http://141.218.60.56/~jnz1568/getInfo.php?workbook=10_02.xlsx&amp;sheet=A0&amp;row=436&amp;col=11&amp;number=4380000000&amp;sourceID=46","4380000000")</f>
        <v>4380000000</v>
      </c>
      <c r="L436" s="4" t="str">
        <f>HYPERLINK("http://141.218.60.56/~jnz1568/getInfo.php?workbook=10_02.xlsx&amp;sheet=A0&amp;row=436&amp;col=12&amp;number=&amp;sourceID=47","")</f>
        <v/>
      </c>
    </row>
    <row r="437" spans="1:12">
      <c r="A437" s="3">
        <v>10</v>
      </c>
      <c r="B437" s="3">
        <v>2</v>
      </c>
      <c r="C437" s="3">
        <v>33</v>
      </c>
      <c r="D437" s="3">
        <v>20</v>
      </c>
      <c r="E437" s="3">
        <f>((1/(INDEX(E0!J$4:J$52,C437,1)-INDEX(E0!J$4:J$52,D437,1))))*100000000</f>
        <v>0</v>
      </c>
      <c r="F437" s="4" t="str">
        <f>HYPERLINK("http://141.218.60.56/~jnz1568/getInfo.php?workbook=10_02.xlsx&amp;sheet=A0&amp;row=437&amp;col=6&amp;number=&amp;sourceID=27","")</f>
        <v/>
      </c>
      <c r="G437" s="4" t="str">
        <f>HYPERLINK("http://141.218.60.56/~jnz1568/getInfo.php?workbook=10_02.xlsx&amp;sheet=A0&amp;row=437&amp;col=7&amp;number=&amp;sourceID=32","")</f>
        <v/>
      </c>
      <c r="H437" s="4" t="str">
        <f>HYPERLINK("http://141.218.60.56/~jnz1568/getInfo.php?workbook=10_02.xlsx&amp;sheet=A0&amp;row=437&amp;col=8&amp;number=&amp;sourceID=32","")</f>
        <v/>
      </c>
      <c r="I437" s="4" t="str">
        <f>HYPERLINK("http://141.218.60.56/~jnz1568/getInfo.php?workbook=10_02.xlsx&amp;sheet=A0&amp;row=437&amp;col=9&amp;number=0.007245&amp;sourceID=32","0.007245")</f>
        <v>0.007245</v>
      </c>
      <c r="J437" s="4" t="str">
        <f>HYPERLINK("http://141.218.60.56/~jnz1568/getInfo.php?workbook=10_02.xlsx&amp;sheet=A0&amp;row=437&amp;col=10&amp;number=&amp;sourceID=32","")</f>
        <v/>
      </c>
      <c r="K437" s="4" t="str">
        <f>HYPERLINK("http://141.218.60.56/~jnz1568/getInfo.php?workbook=10_02.xlsx&amp;sheet=A0&amp;row=437&amp;col=11&amp;number=&amp;sourceID=46","")</f>
        <v/>
      </c>
      <c r="L437" s="4" t="str">
        <f>HYPERLINK("http://141.218.60.56/~jnz1568/getInfo.php?workbook=10_02.xlsx&amp;sheet=A0&amp;row=437&amp;col=12&amp;number=&amp;sourceID=47","")</f>
        <v/>
      </c>
    </row>
    <row r="438" spans="1:12">
      <c r="A438" s="3">
        <v>10</v>
      </c>
      <c r="B438" s="3">
        <v>2</v>
      </c>
      <c r="C438" s="3">
        <v>33</v>
      </c>
      <c r="D438" s="3">
        <v>22</v>
      </c>
      <c r="E438" s="3">
        <f>((1/(INDEX(E0!J$4:J$52,C438,1)-INDEX(E0!J$4:J$52,D438,1))))*100000000</f>
        <v>0</v>
      </c>
      <c r="F438" s="4" t="str">
        <f>HYPERLINK("http://141.218.60.56/~jnz1568/getInfo.php?workbook=10_02.xlsx&amp;sheet=A0&amp;row=438&amp;col=6&amp;number=&amp;sourceID=27","")</f>
        <v/>
      </c>
      <c r="G438" s="4" t="str">
        <f>HYPERLINK("http://141.218.60.56/~jnz1568/getInfo.php?workbook=10_02.xlsx&amp;sheet=A0&amp;row=438&amp;col=7&amp;number=&amp;sourceID=32","")</f>
        <v/>
      </c>
      <c r="H438" s="4" t="str">
        <f>HYPERLINK("http://141.218.60.56/~jnz1568/getInfo.php?workbook=10_02.xlsx&amp;sheet=A0&amp;row=438&amp;col=8&amp;number=248500&amp;sourceID=32","248500")</f>
        <v>248500</v>
      </c>
      <c r="I438" s="4" t="str">
        <f>HYPERLINK("http://141.218.60.56/~jnz1568/getInfo.php?workbook=10_02.xlsx&amp;sheet=A0&amp;row=438&amp;col=9&amp;number=&amp;sourceID=32","")</f>
        <v/>
      </c>
      <c r="J438" s="4" t="str">
        <f>HYPERLINK("http://141.218.60.56/~jnz1568/getInfo.php?workbook=10_02.xlsx&amp;sheet=A0&amp;row=438&amp;col=10&amp;number=&amp;sourceID=32","")</f>
        <v/>
      </c>
      <c r="K438" s="4" t="str">
        <f>HYPERLINK("http://141.218.60.56/~jnz1568/getInfo.php?workbook=10_02.xlsx&amp;sheet=A0&amp;row=438&amp;col=11&amp;number=248080&amp;sourceID=46","248080")</f>
        <v>248080</v>
      </c>
      <c r="L438" s="4" t="str">
        <f>HYPERLINK("http://141.218.60.56/~jnz1568/getInfo.php?workbook=10_02.xlsx&amp;sheet=A0&amp;row=438&amp;col=12&amp;number=&amp;sourceID=47","")</f>
        <v/>
      </c>
    </row>
    <row r="439" spans="1:12">
      <c r="A439" s="3">
        <v>10</v>
      </c>
      <c r="B439" s="3">
        <v>2</v>
      </c>
      <c r="C439" s="3">
        <v>33</v>
      </c>
      <c r="D439" s="3">
        <v>23</v>
      </c>
      <c r="E439" s="3">
        <f>((1/(INDEX(E0!J$4:J$52,C439,1)-INDEX(E0!J$4:J$52,D439,1))))*100000000</f>
        <v>0</v>
      </c>
      <c r="F439" s="4" t="str">
        <f>HYPERLINK("http://141.218.60.56/~jnz1568/getInfo.php?workbook=10_02.xlsx&amp;sheet=A0&amp;row=439&amp;col=6&amp;number=&amp;sourceID=27","")</f>
        <v/>
      </c>
      <c r="G439" s="4" t="str">
        <f>HYPERLINK("http://141.218.60.56/~jnz1568/getInfo.php?workbook=10_02.xlsx&amp;sheet=A0&amp;row=439&amp;col=7&amp;number=1467000000&amp;sourceID=32","1467000000")</f>
        <v>1467000000</v>
      </c>
      <c r="H439" s="4" t="str">
        <f>HYPERLINK("http://141.218.60.56/~jnz1568/getInfo.php?workbook=10_02.xlsx&amp;sheet=A0&amp;row=439&amp;col=8&amp;number=&amp;sourceID=32","")</f>
        <v/>
      </c>
      <c r="I439" s="4" t="str">
        <f>HYPERLINK("http://141.218.60.56/~jnz1568/getInfo.php?workbook=10_02.xlsx&amp;sheet=A0&amp;row=439&amp;col=9&amp;number=&amp;sourceID=32","")</f>
        <v/>
      </c>
      <c r="J439" s="4" t="str">
        <f>HYPERLINK("http://141.218.60.56/~jnz1568/getInfo.php?workbook=10_02.xlsx&amp;sheet=A0&amp;row=439&amp;col=10&amp;number=&amp;sourceID=32","")</f>
        <v/>
      </c>
      <c r="K439" s="4" t="str">
        <f>HYPERLINK("http://141.218.60.56/~jnz1568/getInfo.php?workbook=10_02.xlsx&amp;sheet=A0&amp;row=439&amp;col=11&amp;number=1472600000&amp;sourceID=46","1472600000")</f>
        <v>1472600000</v>
      </c>
      <c r="L439" s="4" t="str">
        <f>HYPERLINK("http://141.218.60.56/~jnz1568/getInfo.php?workbook=10_02.xlsx&amp;sheet=A0&amp;row=439&amp;col=12&amp;number=&amp;sourceID=47","")</f>
        <v/>
      </c>
    </row>
    <row r="440" spans="1:12">
      <c r="A440" s="3">
        <v>10</v>
      </c>
      <c r="B440" s="3">
        <v>2</v>
      </c>
      <c r="C440" s="3">
        <v>33</v>
      </c>
      <c r="D440" s="3">
        <v>24</v>
      </c>
      <c r="E440" s="3">
        <f>((1/(INDEX(E0!J$4:J$52,C440,1)-INDEX(E0!J$4:J$52,D440,1))))*100000000</f>
        <v>0</v>
      </c>
      <c r="F440" s="4" t="str">
        <f>HYPERLINK("http://141.218.60.56/~jnz1568/getInfo.php?workbook=10_02.xlsx&amp;sheet=A0&amp;row=440&amp;col=6&amp;number=&amp;sourceID=27","")</f>
        <v/>
      </c>
      <c r="G440" s="4" t="str">
        <f>HYPERLINK("http://141.218.60.56/~jnz1568/getInfo.php?workbook=10_02.xlsx&amp;sheet=A0&amp;row=440&amp;col=7&amp;number=&amp;sourceID=32","")</f>
        <v/>
      </c>
      <c r="H440" s="4" t="str">
        <f>HYPERLINK("http://141.218.60.56/~jnz1568/getInfo.php?workbook=10_02.xlsx&amp;sheet=A0&amp;row=440&amp;col=8&amp;number=&amp;sourceID=32","")</f>
        <v/>
      </c>
      <c r="I440" s="4" t="str">
        <f>HYPERLINK("http://141.218.60.56/~jnz1568/getInfo.php?workbook=10_02.xlsx&amp;sheet=A0&amp;row=440&amp;col=9&amp;number=&amp;sourceID=32","")</f>
        <v/>
      </c>
      <c r="J440" s="4" t="str">
        <f>HYPERLINK("http://141.218.60.56/~jnz1568/getInfo.php?workbook=10_02.xlsx&amp;sheet=A0&amp;row=440&amp;col=10&amp;number=0.01409&amp;sourceID=32","0.01409")</f>
        <v>0.01409</v>
      </c>
      <c r="K440" s="4" t="str">
        <f>HYPERLINK("http://141.218.60.56/~jnz1568/getInfo.php?workbook=10_02.xlsx&amp;sheet=A0&amp;row=440&amp;col=11&amp;number=&amp;sourceID=46","")</f>
        <v/>
      </c>
      <c r="L440" s="4" t="str">
        <f>HYPERLINK("http://141.218.60.56/~jnz1568/getInfo.php?workbook=10_02.xlsx&amp;sheet=A0&amp;row=440&amp;col=12&amp;number=&amp;sourceID=47","")</f>
        <v/>
      </c>
    </row>
    <row r="441" spans="1:12">
      <c r="A441" s="3">
        <v>10</v>
      </c>
      <c r="B441" s="3">
        <v>2</v>
      </c>
      <c r="C441" s="3">
        <v>33</v>
      </c>
      <c r="D441" s="3">
        <v>25</v>
      </c>
      <c r="E441" s="3">
        <f>((1/(INDEX(E0!J$4:J$52,C441,1)-INDEX(E0!J$4:J$52,D441,1))))*100000000</f>
        <v>0</v>
      </c>
      <c r="F441" s="4" t="str">
        <f>HYPERLINK("http://141.218.60.56/~jnz1568/getInfo.php?workbook=10_02.xlsx&amp;sheet=A0&amp;row=441&amp;col=6&amp;number=&amp;sourceID=27","")</f>
        <v/>
      </c>
      <c r="G441" s="4" t="str">
        <f>HYPERLINK("http://141.218.60.56/~jnz1568/getInfo.php?workbook=10_02.xlsx&amp;sheet=A0&amp;row=441&amp;col=7&amp;number=&amp;sourceID=32","")</f>
        <v/>
      </c>
      <c r="H441" s="4" t="str">
        <f>HYPERLINK("http://141.218.60.56/~jnz1568/getInfo.php?workbook=10_02.xlsx&amp;sheet=A0&amp;row=441&amp;col=8&amp;number=&amp;sourceID=32","")</f>
        <v/>
      </c>
      <c r="I441" s="4" t="str">
        <f>HYPERLINK("http://141.218.60.56/~jnz1568/getInfo.php?workbook=10_02.xlsx&amp;sheet=A0&amp;row=441&amp;col=9&amp;number=&amp;sourceID=32","")</f>
        <v/>
      </c>
      <c r="J441" s="4" t="str">
        <f>HYPERLINK("http://141.218.60.56/~jnz1568/getInfo.php?workbook=10_02.xlsx&amp;sheet=A0&amp;row=441&amp;col=10&amp;number=&amp;sourceID=32","")</f>
        <v/>
      </c>
      <c r="K441" s="4" t="str">
        <f>HYPERLINK("http://141.218.60.56/~jnz1568/getInfo.php?workbook=10_02.xlsx&amp;sheet=A0&amp;row=441&amp;col=11&amp;number=3.1928&amp;sourceID=46","3.1928")</f>
        <v>3.1928</v>
      </c>
      <c r="L441" s="4" t="str">
        <f>HYPERLINK("http://141.218.60.56/~jnz1568/getInfo.php?workbook=10_02.xlsx&amp;sheet=A0&amp;row=441&amp;col=12&amp;number=&amp;sourceID=47","")</f>
        <v/>
      </c>
    </row>
    <row r="442" spans="1:12">
      <c r="A442" s="3">
        <v>10</v>
      </c>
      <c r="B442" s="3">
        <v>2</v>
      </c>
      <c r="C442" s="3">
        <v>33</v>
      </c>
      <c r="D442" s="3">
        <v>27</v>
      </c>
      <c r="E442" s="3">
        <f>((1/(INDEX(E0!J$4:J$52,C442,1)-INDEX(E0!J$4:J$52,D442,1))))*100000000</f>
        <v>0</v>
      </c>
      <c r="F442" s="4" t="str">
        <f>HYPERLINK("http://141.218.60.56/~jnz1568/getInfo.php?workbook=10_02.xlsx&amp;sheet=A0&amp;row=442&amp;col=6&amp;number=&amp;sourceID=27","")</f>
        <v/>
      </c>
      <c r="G442" s="4" t="str">
        <f>HYPERLINK("http://141.218.60.56/~jnz1568/getInfo.php?workbook=10_02.xlsx&amp;sheet=A0&amp;row=442&amp;col=7&amp;number=&amp;sourceID=32","")</f>
        <v/>
      </c>
      <c r="H442" s="4" t="str">
        <f>HYPERLINK("http://141.218.60.56/~jnz1568/getInfo.php?workbook=10_02.xlsx&amp;sheet=A0&amp;row=442&amp;col=8&amp;number=26630&amp;sourceID=32","26630")</f>
        <v>26630</v>
      </c>
      <c r="I442" s="4" t="str">
        <f>HYPERLINK("http://141.218.60.56/~jnz1568/getInfo.php?workbook=10_02.xlsx&amp;sheet=A0&amp;row=442&amp;col=9&amp;number=&amp;sourceID=32","")</f>
        <v/>
      </c>
      <c r="J442" s="4" t="str">
        <f>HYPERLINK("http://141.218.60.56/~jnz1568/getInfo.php?workbook=10_02.xlsx&amp;sheet=A0&amp;row=442&amp;col=10&amp;number=&amp;sourceID=32","")</f>
        <v/>
      </c>
      <c r="K442" s="4" t="str">
        <f>HYPERLINK("http://141.218.60.56/~jnz1568/getInfo.php?workbook=10_02.xlsx&amp;sheet=A0&amp;row=442&amp;col=11&amp;number=26684&amp;sourceID=46","26684")</f>
        <v>26684</v>
      </c>
      <c r="L442" s="4" t="str">
        <f>HYPERLINK("http://141.218.60.56/~jnz1568/getInfo.php?workbook=10_02.xlsx&amp;sheet=A0&amp;row=442&amp;col=12&amp;number=&amp;sourceID=47","")</f>
        <v/>
      </c>
    </row>
    <row r="443" spans="1:12">
      <c r="A443" s="3">
        <v>10</v>
      </c>
      <c r="B443" s="3">
        <v>2</v>
      </c>
      <c r="C443" s="3">
        <v>33</v>
      </c>
      <c r="D443" s="3">
        <v>29</v>
      </c>
      <c r="E443" s="3">
        <f>((1/(INDEX(E0!J$4:J$52,C443,1)-INDEX(E0!J$4:J$52,D443,1))))*100000000</f>
        <v>0</v>
      </c>
      <c r="F443" s="4" t="str">
        <f>HYPERLINK("http://141.218.60.56/~jnz1568/getInfo.php?workbook=10_02.xlsx&amp;sheet=A0&amp;row=443&amp;col=6&amp;number=&amp;sourceID=27","")</f>
        <v/>
      </c>
      <c r="G443" s="4" t="str">
        <f>HYPERLINK("http://141.218.60.56/~jnz1568/getInfo.php?workbook=10_02.xlsx&amp;sheet=A0&amp;row=443&amp;col=7&amp;number=&amp;sourceID=32","")</f>
        <v/>
      </c>
      <c r="H443" s="4" t="str">
        <f>HYPERLINK("http://141.218.60.56/~jnz1568/getInfo.php?workbook=10_02.xlsx&amp;sheet=A0&amp;row=443&amp;col=8&amp;number=&amp;sourceID=32","")</f>
        <v/>
      </c>
      <c r="I443" s="4" t="str">
        <f>HYPERLINK("http://141.218.60.56/~jnz1568/getInfo.php?workbook=10_02.xlsx&amp;sheet=A0&amp;row=443&amp;col=9&amp;number=&amp;sourceID=32","")</f>
        <v/>
      </c>
      <c r="J443" s="4" t="str">
        <f>HYPERLINK("http://141.218.60.56/~jnz1568/getInfo.php?workbook=10_02.xlsx&amp;sheet=A0&amp;row=443&amp;col=10&amp;number=0.2836&amp;sourceID=32","0.2836")</f>
        <v>0.2836</v>
      </c>
      <c r="K443" s="4" t="str">
        <f>HYPERLINK("http://141.218.60.56/~jnz1568/getInfo.php?workbook=10_02.xlsx&amp;sheet=A0&amp;row=443&amp;col=11&amp;number=&amp;sourceID=46","")</f>
        <v/>
      </c>
      <c r="L443" s="4" t="str">
        <f>HYPERLINK("http://141.218.60.56/~jnz1568/getInfo.php?workbook=10_02.xlsx&amp;sheet=A0&amp;row=443&amp;col=12&amp;number=&amp;sourceID=47","")</f>
        <v/>
      </c>
    </row>
    <row r="444" spans="1:12">
      <c r="A444" s="3">
        <v>10</v>
      </c>
      <c r="B444" s="3">
        <v>2</v>
      </c>
      <c r="C444" s="3">
        <v>33</v>
      </c>
      <c r="D444" s="3">
        <v>31</v>
      </c>
      <c r="E444" s="3">
        <f>((1/(INDEX(E0!J$4:J$52,C444,1)-INDEX(E0!J$4:J$52,D444,1))))*100000000</f>
        <v>0</v>
      </c>
      <c r="F444" s="4" t="str">
        <f>HYPERLINK("http://141.218.60.56/~jnz1568/getInfo.php?workbook=10_02.xlsx&amp;sheet=A0&amp;row=444&amp;col=6&amp;number=&amp;sourceID=27","")</f>
        <v/>
      </c>
      <c r="G444" s="4" t="str">
        <f>HYPERLINK("http://141.218.60.56/~jnz1568/getInfo.php?workbook=10_02.xlsx&amp;sheet=A0&amp;row=444&amp;col=7&amp;number=&amp;sourceID=32","")</f>
        <v/>
      </c>
      <c r="H444" s="4" t="str">
        <f>HYPERLINK("http://141.218.60.56/~jnz1568/getInfo.php?workbook=10_02.xlsx&amp;sheet=A0&amp;row=444&amp;col=8&amp;number=&amp;sourceID=32","")</f>
        <v/>
      </c>
      <c r="I444" s="4" t="str">
        <f>HYPERLINK("http://141.218.60.56/~jnz1568/getInfo.php?workbook=10_02.xlsx&amp;sheet=A0&amp;row=444&amp;col=9&amp;number=0.2022&amp;sourceID=32","0.2022")</f>
        <v>0.2022</v>
      </c>
      <c r="J444" s="4" t="str">
        <f>HYPERLINK("http://141.218.60.56/~jnz1568/getInfo.php?workbook=10_02.xlsx&amp;sheet=A0&amp;row=444&amp;col=10&amp;number=&amp;sourceID=32","")</f>
        <v/>
      </c>
      <c r="K444" s="4" t="str">
        <f>HYPERLINK("http://141.218.60.56/~jnz1568/getInfo.php?workbook=10_02.xlsx&amp;sheet=A0&amp;row=444&amp;col=11&amp;number=&amp;sourceID=46","")</f>
        <v/>
      </c>
      <c r="L444" s="4" t="str">
        <f>HYPERLINK("http://141.218.60.56/~jnz1568/getInfo.php?workbook=10_02.xlsx&amp;sheet=A0&amp;row=444&amp;col=12&amp;number=&amp;sourceID=47","")</f>
        <v/>
      </c>
    </row>
    <row r="445" spans="1:12">
      <c r="A445" s="3">
        <v>10</v>
      </c>
      <c r="B445" s="3">
        <v>2</v>
      </c>
      <c r="C445" s="3">
        <v>33</v>
      </c>
      <c r="D445" s="3">
        <v>32</v>
      </c>
      <c r="E445" s="3">
        <f>((1/(INDEX(E0!J$4:J$52,C445,1)-INDEX(E0!J$4:J$52,D445,1))))*100000000</f>
        <v>0</v>
      </c>
      <c r="F445" s="4" t="str">
        <f>HYPERLINK("http://141.218.60.56/~jnz1568/getInfo.php?workbook=10_02.xlsx&amp;sheet=A0&amp;row=445&amp;col=6&amp;number=&amp;sourceID=27","")</f>
        <v/>
      </c>
      <c r="G445" s="4" t="str">
        <f>HYPERLINK("http://141.218.60.56/~jnz1568/getInfo.php?workbook=10_02.xlsx&amp;sheet=A0&amp;row=445&amp;col=7&amp;number=964100&amp;sourceID=32","964100")</f>
        <v>964100</v>
      </c>
      <c r="H445" s="4" t="str">
        <f>HYPERLINK("http://141.218.60.56/~jnz1568/getInfo.php?workbook=10_02.xlsx&amp;sheet=A0&amp;row=445&amp;col=8&amp;number=&amp;sourceID=32","")</f>
        <v/>
      </c>
      <c r="I445" s="4" t="str">
        <f>HYPERLINK("http://141.218.60.56/~jnz1568/getInfo.php?workbook=10_02.xlsx&amp;sheet=A0&amp;row=445&amp;col=9&amp;number=&amp;sourceID=32","")</f>
        <v/>
      </c>
      <c r="J445" s="4" t="str">
        <f>HYPERLINK("http://141.218.60.56/~jnz1568/getInfo.php?workbook=10_02.xlsx&amp;sheet=A0&amp;row=445&amp;col=10&amp;number=&amp;sourceID=32","")</f>
        <v/>
      </c>
      <c r="K445" s="4" t="str">
        <f>HYPERLINK("http://141.218.60.56/~jnz1568/getInfo.php?workbook=10_02.xlsx&amp;sheet=A0&amp;row=445&amp;col=11&amp;number=915640&amp;sourceID=46","915640")</f>
        <v>915640</v>
      </c>
      <c r="L445" s="4" t="str">
        <f>HYPERLINK("http://141.218.60.56/~jnz1568/getInfo.php?workbook=10_02.xlsx&amp;sheet=A0&amp;row=445&amp;col=12&amp;number=&amp;sourceID=47","")</f>
        <v/>
      </c>
    </row>
    <row r="446" spans="1:12">
      <c r="A446" s="3">
        <v>10</v>
      </c>
      <c r="B446" s="3">
        <v>2</v>
      </c>
      <c r="C446" s="3">
        <v>34</v>
      </c>
      <c r="D446" s="3">
        <v>2</v>
      </c>
      <c r="E446" s="3">
        <f>((1/(INDEX(E0!J$4:J$52,C446,1)-INDEX(E0!J$4:J$52,D446,1))))*100000000</f>
        <v>0</v>
      </c>
      <c r="F446" s="4" t="str">
        <f>HYPERLINK("http://141.218.60.56/~jnz1568/getInfo.php?workbook=10_02.xlsx&amp;sheet=A0&amp;row=446&amp;col=6&amp;number=&amp;sourceID=27","")</f>
        <v/>
      </c>
      <c r="G446" s="4" t="str">
        <f>HYPERLINK("http://141.218.60.56/~jnz1568/getInfo.php?workbook=10_02.xlsx&amp;sheet=A0&amp;row=446&amp;col=7&amp;number=&amp;sourceID=32","")</f>
        <v/>
      </c>
      <c r="H446" s="4" t="str">
        <f>HYPERLINK("http://141.218.60.56/~jnz1568/getInfo.php?workbook=10_02.xlsx&amp;sheet=A0&amp;row=446&amp;col=8&amp;number=&amp;sourceID=32","")</f>
        <v/>
      </c>
      <c r="I446" s="4" t="str">
        <f>HYPERLINK("http://141.218.60.56/~jnz1568/getInfo.php?workbook=10_02.xlsx&amp;sheet=A0&amp;row=446&amp;col=9&amp;number=3.692&amp;sourceID=32","3.692")</f>
        <v>3.692</v>
      </c>
      <c r="J446" s="4" t="str">
        <f>HYPERLINK("http://141.218.60.56/~jnz1568/getInfo.php?workbook=10_02.xlsx&amp;sheet=A0&amp;row=446&amp;col=10&amp;number=&amp;sourceID=32","")</f>
        <v/>
      </c>
      <c r="K446" s="4" t="str">
        <f>HYPERLINK("http://141.218.60.56/~jnz1568/getInfo.php?workbook=10_02.xlsx&amp;sheet=A0&amp;row=446&amp;col=11&amp;number=4.3218&amp;sourceID=46","4.3218")</f>
        <v>4.3218</v>
      </c>
      <c r="L446" s="4" t="str">
        <f>HYPERLINK("http://141.218.60.56/~jnz1568/getInfo.php?workbook=10_02.xlsx&amp;sheet=A0&amp;row=446&amp;col=12&amp;number=&amp;sourceID=47","")</f>
        <v/>
      </c>
    </row>
    <row r="447" spans="1:12">
      <c r="A447" s="3">
        <v>10</v>
      </c>
      <c r="B447" s="3">
        <v>2</v>
      </c>
      <c r="C447" s="3">
        <v>34</v>
      </c>
      <c r="D447" s="3">
        <v>4</v>
      </c>
      <c r="E447" s="3">
        <f>((1/(INDEX(E0!J$4:J$52,C447,1)-INDEX(E0!J$4:J$52,D447,1))))*100000000</f>
        <v>0</v>
      </c>
      <c r="F447" s="4" t="str">
        <f>HYPERLINK("http://141.218.60.56/~jnz1568/getInfo.php?workbook=10_02.xlsx&amp;sheet=A0&amp;row=447&amp;col=6&amp;number=&amp;sourceID=27","")</f>
        <v/>
      </c>
      <c r="G447" s="4" t="str">
        <f>HYPERLINK("http://141.218.60.56/~jnz1568/getInfo.php?workbook=10_02.xlsx&amp;sheet=A0&amp;row=447&amp;col=7&amp;number=5025000&amp;sourceID=32","5025000")</f>
        <v>5025000</v>
      </c>
      <c r="H447" s="4" t="str">
        <f>HYPERLINK("http://141.218.60.56/~jnz1568/getInfo.php?workbook=10_02.xlsx&amp;sheet=A0&amp;row=447&amp;col=8&amp;number=&amp;sourceID=32","")</f>
        <v/>
      </c>
      <c r="I447" s="4" t="str">
        <f>HYPERLINK("http://141.218.60.56/~jnz1568/getInfo.php?workbook=10_02.xlsx&amp;sheet=A0&amp;row=447&amp;col=9&amp;number=&amp;sourceID=32","")</f>
        <v/>
      </c>
      <c r="J447" s="4" t="str">
        <f>HYPERLINK("http://141.218.60.56/~jnz1568/getInfo.php?workbook=10_02.xlsx&amp;sheet=A0&amp;row=447&amp;col=10&amp;number=&amp;sourceID=32","")</f>
        <v/>
      </c>
      <c r="K447" s="4" t="str">
        <f>HYPERLINK("http://141.218.60.56/~jnz1568/getInfo.php?workbook=10_02.xlsx&amp;sheet=A0&amp;row=447&amp;col=11&amp;number=16622000&amp;sourceID=46","16622000")</f>
        <v>16622000</v>
      </c>
      <c r="L447" s="4" t="str">
        <f>HYPERLINK("http://141.218.60.56/~jnz1568/getInfo.php?workbook=10_02.xlsx&amp;sheet=A0&amp;row=447&amp;col=12&amp;number=&amp;sourceID=47","")</f>
        <v/>
      </c>
    </row>
    <row r="448" spans="1:12">
      <c r="A448" s="3">
        <v>10</v>
      </c>
      <c r="B448" s="3">
        <v>2</v>
      </c>
      <c r="C448" s="3">
        <v>34</v>
      </c>
      <c r="D448" s="3">
        <v>5</v>
      </c>
      <c r="E448" s="3">
        <f>((1/(INDEX(E0!J$4:J$52,C448,1)-INDEX(E0!J$4:J$52,D448,1))))*100000000</f>
        <v>0</v>
      </c>
      <c r="F448" s="4" t="str">
        <f>HYPERLINK("http://141.218.60.56/~jnz1568/getInfo.php?workbook=10_02.xlsx&amp;sheet=A0&amp;row=448&amp;col=6&amp;number=&amp;sourceID=27","")</f>
        <v/>
      </c>
      <c r="G448" s="4" t="str">
        <f>HYPERLINK("http://141.218.60.56/~jnz1568/getInfo.php?workbook=10_02.xlsx&amp;sheet=A0&amp;row=448&amp;col=7&amp;number=&amp;sourceID=32","")</f>
        <v/>
      </c>
      <c r="H448" s="4" t="str">
        <f>HYPERLINK("http://141.218.60.56/~jnz1568/getInfo.php?workbook=10_02.xlsx&amp;sheet=A0&amp;row=448&amp;col=8&amp;number=&amp;sourceID=32","")</f>
        <v/>
      </c>
      <c r="I448" s="4" t="str">
        <f>HYPERLINK("http://141.218.60.56/~jnz1568/getInfo.php?workbook=10_02.xlsx&amp;sheet=A0&amp;row=448&amp;col=9&amp;number=&amp;sourceID=32","")</f>
        <v/>
      </c>
      <c r="J448" s="4" t="str">
        <f>HYPERLINK("http://141.218.60.56/~jnz1568/getInfo.php?workbook=10_02.xlsx&amp;sheet=A0&amp;row=448&amp;col=10&amp;number=223.5&amp;sourceID=32","223.5")</f>
        <v>223.5</v>
      </c>
      <c r="K448" s="4" t="str">
        <f>HYPERLINK("http://141.218.60.56/~jnz1568/getInfo.php?workbook=10_02.xlsx&amp;sheet=A0&amp;row=448&amp;col=11&amp;number=189.57&amp;sourceID=46","189.57")</f>
        <v>189.57</v>
      </c>
      <c r="L448" s="4" t="str">
        <f>HYPERLINK("http://141.218.60.56/~jnz1568/getInfo.php?workbook=10_02.xlsx&amp;sheet=A0&amp;row=448&amp;col=12&amp;number=&amp;sourceID=47","")</f>
        <v/>
      </c>
    </row>
    <row r="449" spans="1:12">
      <c r="A449" s="3">
        <v>10</v>
      </c>
      <c r="B449" s="3">
        <v>2</v>
      </c>
      <c r="C449" s="3">
        <v>34</v>
      </c>
      <c r="D449" s="3">
        <v>7</v>
      </c>
      <c r="E449" s="3">
        <f>((1/(INDEX(E0!J$4:J$52,C449,1)-INDEX(E0!J$4:J$52,D449,1))))*100000000</f>
        <v>0</v>
      </c>
      <c r="F449" s="4" t="str">
        <f>HYPERLINK("http://141.218.60.56/~jnz1568/getInfo.php?workbook=10_02.xlsx&amp;sheet=A0&amp;row=449&amp;col=6&amp;number=&amp;sourceID=27","")</f>
        <v/>
      </c>
      <c r="G449" s="4" t="str">
        <f>HYPERLINK("http://141.218.60.56/~jnz1568/getInfo.php?workbook=10_02.xlsx&amp;sheet=A0&amp;row=449&amp;col=7&amp;number=10570000000&amp;sourceID=32","10570000000")</f>
        <v>10570000000</v>
      </c>
      <c r="H449" s="4" t="str">
        <f>HYPERLINK("http://141.218.60.56/~jnz1568/getInfo.php?workbook=10_02.xlsx&amp;sheet=A0&amp;row=449&amp;col=8&amp;number=&amp;sourceID=32","")</f>
        <v/>
      </c>
      <c r="I449" s="4" t="str">
        <f>HYPERLINK("http://141.218.60.56/~jnz1568/getInfo.php?workbook=10_02.xlsx&amp;sheet=A0&amp;row=449&amp;col=9&amp;number=&amp;sourceID=32","")</f>
        <v/>
      </c>
      <c r="J449" s="4" t="str">
        <f>HYPERLINK("http://141.218.60.56/~jnz1568/getInfo.php?workbook=10_02.xlsx&amp;sheet=A0&amp;row=449&amp;col=10&amp;number=&amp;sourceID=32","")</f>
        <v/>
      </c>
      <c r="K449" s="4" t="str">
        <f>HYPERLINK("http://141.218.60.56/~jnz1568/getInfo.php?workbook=10_02.xlsx&amp;sheet=A0&amp;row=449&amp;col=11&amp;number=14040000000&amp;sourceID=46","14040000000")</f>
        <v>14040000000</v>
      </c>
      <c r="L449" s="4" t="str">
        <f>HYPERLINK("http://141.218.60.56/~jnz1568/getInfo.php?workbook=10_02.xlsx&amp;sheet=A0&amp;row=449&amp;col=12&amp;number=&amp;sourceID=47","")</f>
        <v/>
      </c>
    </row>
    <row r="450" spans="1:12">
      <c r="A450" s="3">
        <v>10</v>
      </c>
      <c r="B450" s="3">
        <v>2</v>
      </c>
      <c r="C450" s="3">
        <v>34</v>
      </c>
      <c r="D450" s="3">
        <v>8</v>
      </c>
      <c r="E450" s="3">
        <f>((1/(INDEX(E0!J$4:J$52,C450,1)-INDEX(E0!J$4:J$52,D450,1))))*100000000</f>
        <v>0</v>
      </c>
      <c r="F450" s="4" t="str">
        <f>HYPERLINK("http://141.218.60.56/~jnz1568/getInfo.php?workbook=10_02.xlsx&amp;sheet=A0&amp;row=450&amp;col=6&amp;number=&amp;sourceID=27","")</f>
        <v/>
      </c>
      <c r="G450" s="4" t="str">
        <f>HYPERLINK("http://141.218.60.56/~jnz1568/getInfo.php?workbook=10_02.xlsx&amp;sheet=A0&amp;row=450&amp;col=7&amp;number=&amp;sourceID=32","")</f>
        <v/>
      </c>
      <c r="H450" s="4" t="str">
        <f>HYPERLINK("http://141.218.60.56/~jnz1568/getInfo.php?workbook=10_02.xlsx&amp;sheet=A0&amp;row=450&amp;col=8&amp;number=&amp;sourceID=32","")</f>
        <v/>
      </c>
      <c r="I450" s="4" t="str">
        <f>HYPERLINK("http://141.218.60.56/~jnz1568/getInfo.php?workbook=10_02.xlsx&amp;sheet=A0&amp;row=450&amp;col=9&amp;number=0.0451&amp;sourceID=32","0.0451")</f>
        <v>0.0451</v>
      </c>
      <c r="J450" s="4" t="str">
        <f>HYPERLINK("http://141.218.60.56/~jnz1568/getInfo.php?workbook=10_02.xlsx&amp;sheet=A0&amp;row=450&amp;col=10&amp;number=&amp;sourceID=32","")</f>
        <v/>
      </c>
      <c r="K450" s="4" t="str">
        <f>HYPERLINK("http://141.218.60.56/~jnz1568/getInfo.php?workbook=10_02.xlsx&amp;sheet=A0&amp;row=450&amp;col=11&amp;number=&amp;sourceID=46","")</f>
        <v/>
      </c>
      <c r="L450" s="4" t="str">
        <f>HYPERLINK("http://141.218.60.56/~jnz1568/getInfo.php?workbook=10_02.xlsx&amp;sheet=A0&amp;row=450&amp;col=12&amp;number=&amp;sourceID=47","")</f>
        <v/>
      </c>
    </row>
    <row r="451" spans="1:12">
      <c r="A451" s="3">
        <v>10</v>
      </c>
      <c r="B451" s="3">
        <v>2</v>
      </c>
      <c r="C451" s="3">
        <v>34</v>
      </c>
      <c r="D451" s="3">
        <v>10</v>
      </c>
      <c r="E451" s="3">
        <f>((1/(INDEX(E0!J$4:J$52,C451,1)-INDEX(E0!J$4:J$52,D451,1))))*100000000</f>
        <v>0</v>
      </c>
      <c r="F451" s="4" t="str">
        <f>HYPERLINK("http://141.218.60.56/~jnz1568/getInfo.php?workbook=10_02.xlsx&amp;sheet=A0&amp;row=451&amp;col=6&amp;number=&amp;sourceID=27","")</f>
        <v/>
      </c>
      <c r="G451" s="4" t="str">
        <f>HYPERLINK("http://141.218.60.56/~jnz1568/getInfo.php?workbook=10_02.xlsx&amp;sheet=A0&amp;row=451&amp;col=7&amp;number=3920000&amp;sourceID=32","3920000")</f>
        <v>3920000</v>
      </c>
      <c r="H451" s="4" t="str">
        <f>HYPERLINK("http://141.218.60.56/~jnz1568/getInfo.php?workbook=10_02.xlsx&amp;sheet=A0&amp;row=451&amp;col=8&amp;number=&amp;sourceID=32","")</f>
        <v/>
      </c>
      <c r="I451" s="4" t="str">
        <f>HYPERLINK("http://141.218.60.56/~jnz1568/getInfo.php?workbook=10_02.xlsx&amp;sheet=A0&amp;row=451&amp;col=9&amp;number=&amp;sourceID=32","")</f>
        <v/>
      </c>
      <c r="J451" s="4" t="str">
        <f>HYPERLINK("http://141.218.60.56/~jnz1568/getInfo.php?workbook=10_02.xlsx&amp;sheet=A0&amp;row=451&amp;col=10&amp;number=&amp;sourceID=32","")</f>
        <v/>
      </c>
      <c r="K451" s="4" t="str">
        <f>HYPERLINK("http://141.218.60.56/~jnz1568/getInfo.php?workbook=10_02.xlsx&amp;sheet=A0&amp;row=451&amp;col=11&amp;number=4484300&amp;sourceID=46","4484300")</f>
        <v>4484300</v>
      </c>
      <c r="L451" s="4" t="str">
        <f>HYPERLINK("http://141.218.60.56/~jnz1568/getInfo.php?workbook=10_02.xlsx&amp;sheet=A0&amp;row=451&amp;col=12&amp;number=&amp;sourceID=47","")</f>
        <v/>
      </c>
    </row>
    <row r="452" spans="1:12">
      <c r="A452" s="3">
        <v>10</v>
      </c>
      <c r="B452" s="3">
        <v>2</v>
      </c>
      <c r="C452" s="3">
        <v>34</v>
      </c>
      <c r="D452" s="3">
        <v>12</v>
      </c>
      <c r="E452" s="3">
        <f>((1/(INDEX(E0!J$4:J$52,C452,1)-INDEX(E0!J$4:J$52,D452,1))))*100000000</f>
        <v>0</v>
      </c>
      <c r="F452" s="4" t="str">
        <f>HYPERLINK("http://141.218.60.56/~jnz1568/getInfo.php?workbook=10_02.xlsx&amp;sheet=A0&amp;row=452&amp;col=6&amp;number=&amp;sourceID=27","")</f>
        <v/>
      </c>
      <c r="G452" s="4" t="str">
        <f>HYPERLINK("http://141.218.60.56/~jnz1568/getInfo.php?workbook=10_02.xlsx&amp;sheet=A0&amp;row=452&amp;col=7&amp;number=&amp;sourceID=32","")</f>
        <v/>
      </c>
      <c r="H452" s="4" t="str">
        <f>HYPERLINK("http://141.218.60.56/~jnz1568/getInfo.php?workbook=10_02.xlsx&amp;sheet=A0&amp;row=452&amp;col=8&amp;number=&amp;sourceID=32","")</f>
        <v/>
      </c>
      <c r="I452" s="4" t="str">
        <f>HYPERLINK("http://141.218.60.56/~jnz1568/getInfo.php?workbook=10_02.xlsx&amp;sheet=A0&amp;row=452&amp;col=9&amp;number=&amp;sourceID=32","")</f>
        <v/>
      </c>
      <c r="J452" s="4" t="str">
        <f>HYPERLINK("http://141.218.60.56/~jnz1568/getInfo.php?workbook=10_02.xlsx&amp;sheet=A0&amp;row=452&amp;col=10&amp;number=18.33&amp;sourceID=32","18.33")</f>
        <v>18.33</v>
      </c>
      <c r="K452" s="4" t="str">
        <f>HYPERLINK("http://141.218.60.56/~jnz1568/getInfo.php?workbook=10_02.xlsx&amp;sheet=A0&amp;row=452&amp;col=11&amp;number=17.776&amp;sourceID=46","17.776")</f>
        <v>17.776</v>
      </c>
      <c r="L452" s="4" t="str">
        <f>HYPERLINK("http://141.218.60.56/~jnz1568/getInfo.php?workbook=10_02.xlsx&amp;sheet=A0&amp;row=452&amp;col=12&amp;number=&amp;sourceID=47","")</f>
        <v/>
      </c>
    </row>
    <row r="453" spans="1:12">
      <c r="A453" s="3">
        <v>10</v>
      </c>
      <c r="B453" s="3">
        <v>2</v>
      </c>
      <c r="C453" s="3">
        <v>34</v>
      </c>
      <c r="D453" s="3">
        <v>13</v>
      </c>
      <c r="E453" s="3">
        <f>((1/(INDEX(E0!J$4:J$52,C453,1)-INDEX(E0!J$4:J$52,D453,1))))*100000000</f>
        <v>0</v>
      </c>
      <c r="F453" s="4" t="str">
        <f>HYPERLINK("http://141.218.60.56/~jnz1568/getInfo.php?workbook=10_02.xlsx&amp;sheet=A0&amp;row=453&amp;col=6&amp;number=&amp;sourceID=27","")</f>
        <v/>
      </c>
      <c r="G453" s="4" t="str">
        <f>HYPERLINK("http://141.218.60.56/~jnz1568/getInfo.php?workbook=10_02.xlsx&amp;sheet=A0&amp;row=453&amp;col=7&amp;number=&amp;sourceID=32","")</f>
        <v/>
      </c>
      <c r="H453" s="4" t="str">
        <f>HYPERLINK("http://141.218.60.56/~jnz1568/getInfo.php?workbook=10_02.xlsx&amp;sheet=A0&amp;row=453&amp;col=8&amp;number=&amp;sourceID=32","")</f>
        <v/>
      </c>
      <c r="I453" s="4" t="str">
        <f>HYPERLINK("http://141.218.60.56/~jnz1568/getInfo.php?workbook=10_02.xlsx&amp;sheet=A0&amp;row=453&amp;col=9&amp;number=3.053e-05&amp;sourceID=32","3.053e-05")</f>
        <v>3.053e-05</v>
      </c>
      <c r="J453" s="4" t="str">
        <f>HYPERLINK("http://141.218.60.56/~jnz1568/getInfo.php?workbook=10_02.xlsx&amp;sheet=A0&amp;row=453&amp;col=10&amp;number=&amp;sourceID=32","")</f>
        <v/>
      </c>
      <c r="K453" s="4" t="str">
        <f>HYPERLINK("http://141.218.60.56/~jnz1568/getInfo.php?workbook=10_02.xlsx&amp;sheet=A0&amp;row=453&amp;col=11&amp;number=&amp;sourceID=46","")</f>
        <v/>
      </c>
      <c r="L453" s="4" t="str">
        <f>HYPERLINK("http://141.218.60.56/~jnz1568/getInfo.php?workbook=10_02.xlsx&amp;sheet=A0&amp;row=453&amp;col=12&amp;number=&amp;sourceID=47","")</f>
        <v/>
      </c>
    </row>
    <row r="454" spans="1:12">
      <c r="A454" s="3">
        <v>10</v>
      </c>
      <c r="B454" s="3">
        <v>2</v>
      </c>
      <c r="C454" s="3">
        <v>34</v>
      </c>
      <c r="D454" s="3">
        <v>14</v>
      </c>
      <c r="E454" s="3">
        <f>((1/(INDEX(E0!J$4:J$52,C454,1)-INDEX(E0!J$4:J$52,D454,1))))*100000000</f>
        <v>0</v>
      </c>
      <c r="F454" s="4" t="str">
        <f>HYPERLINK("http://141.218.60.56/~jnz1568/getInfo.php?workbook=10_02.xlsx&amp;sheet=A0&amp;row=454&amp;col=6&amp;number=&amp;sourceID=27","")</f>
        <v/>
      </c>
      <c r="G454" s="4" t="str">
        <f>HYPERLINK("http://141.218.60.56/~jnz1568/getInfo.php?workbook=10_02.xlsx&amp;sheet=A0&amp;row=454&amp;col=7&amp;number=&amp;sourceID=32","")</f>
        <v/>
      </c>
      <c r="H454" s="4" t="str">
        <f>HYPERLINK("http://141.218.60.56/~jnz1568/getInfo.php?workbook=10_02.xlsx&amp;sheet=A0&amp;row=454&amp;col=8&amp;number=15100&amp;sourceID=32","15100")</f>
        <v>15100</v>
      </c>
      <c r="I454" s="4" t="str">
        <f>HYPERLINK("http://141.218.60.56/~jnz1568/getInfo.php?workbook=10_02.xlsx&amp;sheet=A0&amp;row=454&amp;col=9&amp;number=&amp;sourceID=32","")</f>
        <v/>
      </c>
      <c r="J454" s="4" t="str">
        <f>HYPERLINK("http://141.218.60.56/~jnz1568/getInfo.php?workbook=10_02.xlsx&amp;sheet=A0&amp;row=454&amp;col=10&amp;number=&amp;sourceID=32","")</f>
        <v/>
      </c>
      <c r="K454" s="4" t="str">
        <f>HYPERLINK("http://141.218.60.56/~jnz1568/getInfo.php?workbook=10_02.xlsx&amp;sheet=A0&amp;row=454&amp;col=11&amp;number=9792.5&amp;sourceID=46","9792.5")</f>
        <v>9792.5</v>
      </c>
      <c r="L454" s="4" t="str">
        <f>HYPERLINK("http://141.218.60.56/~jnz1568/getInfo.php?workbook=10_02.xlsx&amp;sheet=A0&amp;row=454&amp;col=12&amp;number=&amp;sourceID=47","")</f>
        <v/>
      </c>
    </row>
    <row r="455" spans="1:12">
      <c r="A455" s="3">
        <v>10</v>
      </c>
      <c r="B455" s="3">
        <v>2</v>
      </c>
      <c r="C455" s="3">
        <v>34</v>
      </c>
      <c r="D455" s="3">
        <v>16</v>
      </c>
      <c r="E455" s="3">
        <f>((1/(INDEX(E0!J$4:J$52,C455,1)-INDEX(E0!J$4:J$52,D455,1))))*100000000</f>
        <v>0</v>
      </c>
      <c r="F455" s="4" t="str">
        <f>HYPERLINK("http://141.218.60.56/~jnz1568/getInfo.php?workbook=10_02.xlsx&amp;sheet=A0&amp;row=455&amp;col=6&amp;number=&amp;sourceID=27","")</f>
        <v/>
      </c>
      <c r="G455" s="4" t="str">
        <f>HYPERLINK("http://141.218.60.56/~jnz1568/getInfo.php?workbook=10_02.xlsx&amp;sheet=A0&amp;row=455&amp;col=7&amp;number=&amp;sourceID=32","")</f>
        <v/>
      </c>
      <c r="H455" s="4" t="str">
        <f>HYPERLINK("http://141.218.60.56/~jnz1568/getInfo.php?workbook=10_02.xlsx&amp;sheet=A0&amp;row=455&amp;col=8&amp;number=339100&amp;sourceID=32","339100")</f>
        <v>339100</v>
      </c>
      <c r="I455" s="4" t="str">
        <f>HYPERLINK("http://141.218.60.56/~jnz1568/getInfo.php?workbook=10_02.xlsx&amp;sheet=A0&amp;row=455&amp;col=9&amp;number=&amp;sourceID=32","")</f>
        <v/>
      </c>
      <c r="J455" s="4" t="str">
        <f>HYPERLINK("http://141.218.60.56/~jnz1568/getInfo.php?workbook=10_02.xlsx&amp;sheet=A0&amp;row=455&amp;col=10&amp;number=&amp;sourceID=32","")</f>
        <v/>
      </c>
      <c r="K455" s="4" t="str">
        <f>HYPERLINK("http://141.218.60.56/~jnz1568/getInfo.php?workbook=10_02.xlsx&amp;sheet=A0&amp;row=455&amp;col=11&amp;number=349530&amp;sourceID=46","349530")</f>
        <v>349530</v>
      </c>
      <c r="L455" s="4" t="str">
        <f>HYPERLINK("http://141.218.60.56/~jnz1568/getInfo.php?workbook=10_02.xlsx&amp;sheet=A0&amp;row=455&amp;col=12&amp;number=&amp;sourceID=47","")</f>
        <v/>
      </c>
    </row>
    <row r="456" spans="1:12">
      <c r="A456" s="3">
        <v>10</v>
      </c>
      <c r="B456" s="3">
        <v>2</v>
      </c>
      <c r="C456" s="3">
        <v>34</v>
      </c>
      <c r="D456" s="3">
        <v>17</v>
      </c>
      <c r="E456" s="3">
        <f>((1/(INDEX(E0!J$4:J$52,C456,1)-INDEX(E0!J$4:J$52,D456,1))))*100000000</f>
        <v>0</v>
      </c>
      <c r="F456" s="4" t="str">
        <f>HYPERLINK("http://141.218.60.56/~jnz1568/getInfo.php?workbook=10_02.xlsx&amp;sheet=A0&amp;row=456&amp;col=6&amp;number=&amp;sourceID=27","")</f>
        <v/>
      </c>
      <c r="G456" s="4" t="str">
        <f>HYPERLINK("http://141.218.60.56/~jnz1568/getInfo.php?workbook=10_02.xlsx&amp;sheet=A0&amp;row=456&amp;col=7&amp;number=7106000000&amp;sourceID=32","7106000000")</f>
        <v>7106000000</v>
      </c>
      <c r="H456" s="4" t="str">
        <f>HYPERLINK("http://141.218.60.56/~jnz1568/getInfo.php?workbook=10_02.xlsx&amp;sheet=A0&amp;row=456&amp;col=8&amp;number=&amp;sourceID=32","")</f>
        <v/>
      </c>
      <c r="I456" s="4" t="str">
        <f>HYPERLINK("http://141.218.60.56/~jnz1568/getInfo.php?workbook=10_02.xlsx&amp;sheet=A0&amp;row=456&amp;col=9&amp;number=&amp;sourceID=32","")</f>
        <v/>
      </c>
      <c r="J456" s="4" t="str">
        <f>HYPERLINK("http://141.218.60.56/~jnz1568/getInfo.php?workbook=10_02.xlsx&amp;sheet=A0&amp;row=456&amp;col=10&amp;number=&amp;sourceID=32","")</f>
        <v/>
      </c>
      <c r="K456" s="4" t="str">
        <f>HYPERLINK("http://141.218.60.56/~jnz1568/getInfo.php?workbook=10_02.xlsx&amp;sheet=A0&amp;row=456&amp;col=11&amp;number=7788900000&amp;sourceID=46","7788900000")</f>
        <v>7788900000</v>
      </c>
      <c r="L456" s="4" t="str">
        <f>HYPERLINK("http://141.218.60.56/~jnz1568/getInfo.php?workbook=10_02.xlsx&amp;sheet=A0&amp;row=456&amp;col=12&amp;number=&amp;sourceID=47","")</f>
        <v/>
      </c>
    </row>
    <row r="457" spans="1:12">
      <c r="A457" s="3">
        <v>10</v>
      </c>
      <c r="B457" s="3">
        <v>2</v>
      </c>
      <c r="C457" s="3">
        <v>34</v>
      </c>
      <c r="D457" s="3">
        <v>18</v>
      </c>
      <c r="E457" s="3">
        <f>((1/(INDEX(E0!J$4:J$52,C457,1)-INDEX(E0!J$4:J$52,D457,1))))*100000000</f>
        <v>0</v>
      </c>
      <c r="F457" s="4" t="str">
        <f>HYPERLINK("http://141.218.60.56/~jnz1568/getInfo.php?workbook=10_02.xlsx&amp;sheet=A0&amp;row=457&amp;col=6&amp;number=&amp;sourceID=27","")</f>
        <v/>
      </c>
      <c r="G457" s="4" t="str">
        <f>HYPERLINK("http://141.218.60.56/~jnz1568/getInfo.php?workbook=10_02.xlsx&amp;sheet=A0&amp;row=457&amp;col=7&amp;number=&amp;sourceID=32","")</f>
        <v/>
      </c>
      <c r="H457" s="4" t="str">
        <f>HYPERLINK("http://141.218.60.56/~jnz1568/getInfo.php?workbook=10_02.xlsx&amp;sheet=A0&amp;row=457&amp;col=8&amp;number=&amp;sourceID=32","")</f>
        <v/>
      </c>
      <c r="I457" s="4" t="str">
        <f>HYPERLINK("http://141.218.60.56/~jnz1568/getInfo.php?workbook=10_02.xlsx&amp;sheet=A0&amp;row=457&amp;col=9&amp;number=0.0001023&amp;sourceID=32","0.0001023")</f>
        <v>0.0001023</v>
      </c>
      <c r="J457" s="4" t="str">
        <f>HYPERLINK("http://141.218.60.56/~jnz1568/getInfo.php?workbook=10_02.xlsx&amp;sheet=A0&amp;row=457&amp;col=10&amp;number=&amp;sourceID=32","")</f>
        <v/>
      </c>
      <c r="K457" s="4" t="str">
        <f>HYPERLINK("http://141.218.60.56/~jnz1568/getInfo.php?workbook=10_02.xlsx&amp;sheet=A0&amp;row=457&amp;col=11&amp;number=&amp;sourceID=46","")</f>
        <v/>
      </c>
      <c r="L457" s="4" t="str">
        <f>HYPERLINK("http://141.218.60.56/~jnz1568/getInfo.php?workbook=10_02.xlsx&amp;sheet=A0&amp;row=457&amp;col=12&amp;number=&amp;sourceID=47","")</f>
        <v/>
      </c>
    </row>
    <row r="458" spans="1:12">
      <c r="A458" s="3">
        <v>10</v>
      </c>
      <c r="B458" s="3">
        <v>2</v>
      </c>
      <c r="C458" s="3">
        <v>34</v>
      </c>
      <c r="D458" s="3">
        <v>20</v>
      </c>
      <c r="E458" s="3">
        <f>((1/(INDEX(E0!J$4:J$52,C458,1)-INDEX(E0!J$4:J$52,D458,1))))*100000000</f>
        <v>0</v>
      </c>
      <c r="F458" s="4" t="str">
        <f>HYPERLINK("http://141.218.60.56/~jnz1568/getInfo.php?workbook=10_02.xlsx&amp;sheet=A0&amp;row=458&amp;col=6&amp;number=&amp;sourceID=27","")</f>
        <v/>
      </c>
      <c r="G458" s="4" t="str">
        <f>HYPERLINK("http://141.218.60.56/~jnz1568/getInfo.php?workbook=10_02.xlsx&amp;sheet=A0&amp;row=458&amp;col=7&amp;number=2911000&amp;sourceID=32","2911000")</f>
        <v>2911000</v>
      </c>
      <c r="H458" s="4" t="str">
        <f>HYPERLINK("http://141.218.60.56/~jnz1568/getInfo.php?workbook=10_02.xlsx&amp;sheet=A0&amp;row=458&amp;col=8&amp;number=&amp;sourceID=32","")</f>
        <v/>
      </c>
      <c r="I458" s="4" t="str">
        <f>HYPERLINK("http://141.218.60.56/~jnz1568/getInfo.php?workbook=10_02.xlsx&amp;sheet=A0&amp;row=458&amp;col=9&amp;number=&amp;sourceID=32","")</f>
        <v/>
      </c>
      <c r="J458" s="4" t="str">
        <f>HYPERLINK("http://141.218.60.56/~jnz1568/getInfo.php?workbook=10_02.xlsx&amp;sheet=A0&amp;row=458&amp;col=10&amp;number=&amp;sourceID=32","")</f>
        <v/>
      </c>
      <c r="K458" s="4" t="str">
        <f>HYPERLINK("http://141.218.60.56/~jnz1568/getInfo.php?workbook=10_02.xlsx&amp;sheet=A0&amp;row=458&amp;col=11&amp;number=2186400&amp;sourceID=46","2186400")</f>
        <v>2186400</v>
      </c>
      <c r="L458" s="4" t="str">
        <f>HYPERLINK("http://141.218.60.56/~jnz1568/getInfo.php?workbook=10_02.xlsx&amp;sheet=A0&amp;row=458&amp;col=12&amp;number=&amp;sourceID=47","")</f>
        <v/>
      </c>
    </row>
    <row r="459" spans="1:12">
      <c r="A459" s="3">
        <v>10</v>
      </c>
      <c r="B459" s="3">
        <v>2</v>
      </c>
      <c r="C459" s="3">
        <v>34</v>
      </c>
      <c r="D459" s="3">
        <v>22</v>
      </c>
      <c r="E459" s="3">
        <f>((1/(INDEX(E0!J$4:J$52,C459,1)-INDEX(E0!J$4:J$52,D459,1))))*100000000</f>
        <v>0</v>
      </c>
      <c r="F459" s="4" t="str">
        <f>HYPERLINK("http://141.218.60.56/~jnz1568/getInfo.php?workbook=10_02.xlsx&amp;sheet=A0&amp;row=459&amp;col=6&amp;number=&amp;sourceID=27","")</f>
        <v/>
      </c>
      <c r="G459" s="4" t="str">
        <f>HYPERLINK("http://141.218.60.56/~jnz1568/getInfo.php?workbook=10_02.xlsx&amp;sheet=A0&amp;row=459&amp;col=7&amp;number=&amp;sourceID=32","")</f>
        <v/>
      </c>
      <c r="H459" s="4" t="str">
        <f>HYPERLINK("http://141.218.60.56/~jnz1568/getInfo.php?workbook=10_02.xlsx&amp;sheet=A0&amp;row=459&amp;col=8&amp;number=&amp;sourceID=32","")</f>
        <v/>
      </c>
      <c r="I459" s="4" t="str">
        <f>HYPERLINK("http://141.218.60.56/~jnz1568/getInfo.php?workbook=10_02.xlsx&amp;sheet=A0&amp;row=459&amp;col=9&amp;number=&amp;sourceID=32","")</f>
        <v/>
      </c>
      <c r="J459" s="4" t="str">
        <f>HYPERLINK("http://141.218.60.56/~jnz1568/getInfo.php?workbook=10_02.xlsx&amp;sheet=A0&amp;row=459&amp;col=10&amp;number=1.305&amp;sourceID=32","1.305")</f>
        <v>1.305</v>
      </c>
      <c r="K459" s="4" t="str">
        <f>HYPERLINK("http://141.218.60.56/~jnz1568/getInfo.php?workbook=10_02.xlsx&amp;sheet=A0&amp;row=459&amp;col=11&amp;number=1.2908&amp;sourceID=46","1.2908")</f>
        <v>1.2908</v>
      </c>
      <c r="L459" s="4" t="str">
        <f>HYPERLINK("http://141.218.60.56/~jnz1568/getInfo.php?workbook=10_02.xlsx&amp;sheet=A0&amp;row=459&amp;col=12&amp;number=&amp;sourceID=47","")</f>
        <v/>
      </c>
    </row>
    <row r="460" spans="1:12">
      <c r="A460" s="3">
        <v>10</v>
      </c>
      <c r="B460" s="3">
        <v>2</v>
      </c>
      <c r="C460" s="3">
        <v>34</v>
      </c>
      <c r="D460" s="3">
        <v>23</v>
      </c>
      <c r="E460" s="3">
        <f>((1/(INDEX(E0!J$4:J$52,C460,1)-INDEX(E0!J$4:J$52,D460,1))))*100000000</f>
        <v>0</v>
      </c>
      <c r="F460" s="4" t="str">
        <f>HYPERLINK("http://141.218.60.56/~jnz1568/getInfo.php?workbook=10_02.xlsx&amp;sheet=A0&amp;row=460&amp;col=6&amp;number=&amp;sourceID=27","")</f>
        <v/>
      </c>
      <c r="G460" s="4" t="str">
        <f>HYPERLINK("http://141.218.60.56/~jnz1568/getInfo.php?workbook=10_02.xlsx&amp;sheet=A0&amp;row=460&amp;col=7&amp;number=&amp;sourceID=32","")</f>
        <v/>
      </c>
      <c r="H460" s="4" t="str">
        <f>HYPERLINK("http://141.218.60.56/~jnz1568/getInfo.php?workbook=10_02.xlsx&amp;sheet=A0&amp;row=460&amp;col=8&amp;number=&amp;sourceID=32","")</f>
        <v/>
      </c>
      <c r="I460" s="4" t="str">
        <f>HYPERLINK("http://141.218.60.56/~jnz1568/getInfo.php?workbook=10_02.xlsx&amp;sheet=A0&amp;row=460&amp;col=9&amp;number=4.711e-06&amp;sourceID=32","4.711e-06")</f>
        <v>4.711e-06</v>
      </c>
      <c r="J460" s="4" t="str">
        <f>HYPERLINK("http://141.218.60.56/~jnz1568/getInfo.php?workbook=10_02.xlsx&amp;sheet=A0&amp;row=460&amp;col=10&amp;number=&amp;sourceID=32","")</f>
        <v/>
      </c>
      <c r="K460" s="4" t="str">
        <f>HYPERLINK("http://141.218.60.56/~jnz1568/getInfo.php?workbook=10_02.xlsx&amp;sheet=A0&amp;row=460&amp;col=11&amp;number=&amp;sourceID=46","")</f>
        <v/>
      </c>
      <c r="L460" s="4" t="str">
        <f>HYPERLINK("http://141.218.60.56/~jnz1568/getInfo.php?workbook=10_02.xlsx&amp;sheet=A0&amp;row=460&amp;col=12&amp;number=&amp;sourceID=47","")</f>
        <v/>
      </c>
    </row>
    <row r="461" spans="1:12">
      <c r="A461" s="3">
        <v>10</v>
      </c>
      <c r="B461" s="3">
        <v>2</v>
      </c>
      <c r="C461" s="3">
        <v>34</v>
      </c>
      <c r="D461" s="3">
        <v>24</v>
      </c>
      <c r="E461" s="3">
        <f>((1/(INDEX(E0!J$4:J$52,C461,1)-INDEX(E0!J$4:J$52,D461,1))))*100000000</f>
        <v>0</v>
      </c>
      <c r="F461" s="4" t="str">
        <f>HYPERLINK("http://141.218.60.56/~jnz1568/getInfo.php?workbook=10_02.xlsx&amp;sheet=A0&amp;row=461&amp;col=6&amp;number=&amp;sourceID=27","")</f>
        <v/>
      </c>
      <c r="G461" s="4" t="str">
        <f>HYPERLINK("http://141.218.60.56/~jnz1568/getInfo.php?workbook=10_02.xlsx&amp;sheet=A0&amp;row=461&amp;col=7&amp;number=&amp;sourceID=32","")</f>
        <v/>
      </c>
      <c r="H461" s="4" t="str">
        <f>HYPERLINK("http://141.218.60.56/~jnz1568/getInfo.php?workbook=10_02.xlsx&amp;sheet=A0&amp;row=461&amp;col=8&amp;number=4994&amp;sourceID=32","4994")</f>
        <v>4994</v>
      </c>
      <c r="I461" s="4" t="str">
        <f>HYPERLINK("http://141.218.60.56/~jnz1568/getInfo.php?workbook=10_02.xlsx&amp;sheet=A0&amp;row=461&amp;col=9&amp;number=&amp;sourceID=32","")</f>
        <v/>
      </c>
      <c r="J461" s="4" t="str">
        <f>HYPERLINK("http://141.218.60.56/~jnz1568/getInfo.php?workbook=10_02.xlsx&amp;sheet=A0&amp;row=461&amp;col=10&amp;number=&amp;sourceID=32","")</f>
        <v/>
      </c>
      <c r="K461" s="4" t="str">
        <f>HYPERLINK("http://141.218.60.56/~jnz1568/getInfo.php?workbook=10_02.xlsx&amp;sheet=A0&amp;row=461&amp;col=11&amp;number=3154.1&amp;sourceID=46","3154.1")</f>
        <v>3154.1</v>
      </c>
      <c r="L461" s="4" t="str">
        <f>HYPERLINK("http://141.218.60.56/~jnz1568/getInfo.php?workbook=10_02.xlsx&amp;sheet=A0&amp;row=461&amp;col=12&amp;number=&amp;sourceID=47","")</f>
        <v/>
      </c>
    </row>
    <row r="462" spans="1:12">
      <c r="A462" s="3">
        <v>10</v>
      </c>
      <c r="B462" s="3">
        <v>2</v>
      </c>
      <c r="C462" s="3">
        <v>34</v>
      </c>
      <c r="D462" s="3">
        <v>27</v>
      </c>
      <c r="E462" s="3">
        <f>((1/(INDEX(E0!J$4:J$52,C462,1)-INDEX(E0!J$4:J$52,D462,1))))*100000000</f>
        <v>0</v>
      </c>
      <c r="F462" s="4" t="str">
        <f>HYPERLINK("http://141.218.60.56/~jnz1568/getInfo.php?workbook=10_02.xlsx&amp;sheet=A0&amp;row=462&amp;col=6&amp;number=&amp;sourceID=27","")</f>
        <v/>
      </c>
      <c r="G462" s="4" t="str">
        <f>HYPERLINK("http://141.218.60.56/~jnz1568/getInfo.php?workbook=10_02.xlsx&amp;sheet=A0&amp;row=462&amp;col=7&amp;number=&amp;sourceID=32","")</f>
        <v/>
      </c>
      <c r="H462" s="4" t="str">
        <f>HYPERLINK("http://141.218.60.56/~jnz1568/getInfo.php?workbook=10_02.xlsx&amp;sheet=A0&amp;row=462&amp;col=8&amp;number=&amp;sourceID=32","")</f>
        <v/>
      </c>
      <c r="I462" s="4" t="str">
        <f>HYPERLINK("http://141.218.60.56/~jnz1568/getInfo.php?workbook=10_02.xlsx&amp;sheet=A0&amp;row=462&amp;col=9&amp;number=&amp;sourceID=32","")</f>
        <v/>
      </c>
      <c r="J462" s="4" t="str">
        <f>HYPERLINK("http://141.218.60.56/~jnz1568/getInfo.php?workbook=10_02.xlsx&amp;sheet=A0&amp;row=462&amp;col=10&amp;number=3.717e-09&amp;sourceID=32","3.717e-09")</f>
        <v>3.717e-09</v>
      </c>
      <c r="K462" s="4" t="str">
        <f>HYPERLINK("http://141.218.60.56/~jnz1568/getInfo.php?workbook=10_02.xlsx&amp;sheet=A0&amp;row=462&amp;col=11&amp;number=&amp;sourceID=46","")</f>
        <v/>
      </c>
      <c r="L462" s="4" t="str">
        <f>HYPERLINK("http://141.218.60.56/~jnz1568/getInfo.php?workbook=10_02.xlsx&amp;sheet=A0&amp;row=462&amp;col=12&amp;number=&amp;sourceID=47","")</f>
        <v/>
      </c>
    </row>
    <row r="463" spans="1:12">
      <c r="A463" s="3">
        <v>10</v>
      </c>
      <c r="B463" s="3">
        <v>2</v>
      </c>
      <c r="C463" s="3">
        <v>34</v>
      </c>
      <c r="D463" s="3">
        <v>29</v>
      </c>
      <c r="E463" s="3">
        <f>((1/(INDEX(E0!J$4:J$52,C463,1)-INDEX(E0!J$4:J$52,D463,1))))*100000000</f>
        <v>0</v>
      </c>
      <c r="F463" s="4" t="str">
        <f>HYPERLINK("http://141.218.60.56/~jnz1568/getInfo.php?workbook=10_02.xlsx&amp;sheet=A0&amp;row=463&amp;col=6&amp;number=&amp;sourceID=27","")</f>
        <v/>
      </c>
      <c r="G463" s="4" t="str">
        <f>HYPERLINK("http://141.218.60.56/~jnz1568/getInfo.php?workbook=10_02.xlsx&amp;sheet=A0&amp;row=463&amp;col=7&amp;number=&amp;sourceID=32","")</f>
        <v/>
      </c>
      <c r="H463" s="4" t="str">
        <f>HYPERLINK("http://141.218.60.56/~jnz1568/getInfo.php?workbook=10_02.xlsx&amp;sheet=A0&amp;row=463&amp;col=8&amp;number=174800&amp;sourceID=32","174800")</f>
        <v>174800</v>
      </c>
      <c r="I463" s="4" t="str">
        <f>HYPERLINK("http://141.218.60.56/~jnz1568/getInfo.php?workbook=10_02.xlsx&amp;sheet=A0&amp;row=463&amp;col=9&amp;number=&amp;sourceID=32","")</f>
        <v/>
      </c>
      <c r="J463" s="4" t="str">
        <f>HYPERLINK("http://141.218.60.56/~jnz1568/getInfo.php?workbook=10_02.xlsx&amp;sheet=A0&amp;row=463&amp;col=10&amp;number=&amp;sourceID=32","")</f>
        <v/>
      </c>
      <c r="K463" s="4" t="str">
        <f>HYPERLINK("http://141.218.60.56/~jnz1568/getInfo.php?workbook=10_02.xlsx&amp;sheet=A0&amp;row=463&amp;col=11&amp;number=176940&amp;sourceID=46","176940")</f>
        <v>176940</v>
      </c>
      <c r="L463" s="4" t="str">
        <f>HYPERLINK("http://141.218.60.56/~jnz1568/getInfo.php?workbook=10_02.xlsx&amp;sheet=A0&amp;row=463&amp;col=12&amp;number=&amp;sourceID=47","")</f>
        <v/>
      </c>
    </row>
    <row r="464" spans="1:12">
      <c r="A464" s="3">
        <v>10</v>
      </c>
      <c r="B464" s="3">
        <v>2</v>
      </c>
      <c r="C464" s="3">
        <v>34</v>
      </c>
      <c r="D464" s="3">
        <v>31</v>
      </c>
      <c r="E464" s="3">
        <f>((1/(INDEX(E0!J$4:J$52,C464,1)-INDEX(E0!J$4:J$52,D464,1))))*100000000</f>
        <v>0</v>
      </c>
      <c r="F464" s="4" t="str">
        <f>HYPERLINK("http://141.218.60.56/~jnz1568/getInfo.php?workbook=10_02.xlsx&amp;sheet=A0&amp;row=464&amp;col=6&amp;number=&amp;sourceID=27","")</f>
        <v/>
      </c>
      <c r="G464" s="4" t="str">
        <f>HYPERLINK("http://141.218.60.56/~jnz1568/getInfo.php?workbook=10_02.xlsx&amp;sheet=A0&amp;row=464&amp;col=7&amp;number=5052000000&amp;sourceID=32","5052000000")</f>
        <v>5052000000</v>
      </c>
      <c r="H464" s="4" t="str">
        <f>HYPERLINK("http://141.218.60.56/~jnz1568/getInfo.php?workbook=10_02.xlsx&amp;sheet=A0&amp;row=464&amp;col=8&amp;number=&amp;sourceID=32","")</f>
        <v/>
      </c>
      <c r="I464" s="4" t="str">
        <f>HYPERLINK("http://141.218.60.56/~jnz1568/getInfo.php?workbook=10_02.xlsx&amp;sheet=A0&amp;row=464&amp;col=9&amp;number=&amp;sourceID=32","")</f>
        <v/>
      </c>
      <c r="J464" s="4" t="str">
        <f>HYPERLINK("http://141.218.60.56/~jnz1568/getInfo.php?workbook=10_02.xlsx&amp;sheet=A0&amp;row=464&amp;col=10&amp;number=&amp;sourceID=32","")</f>
        <v/>
      </c>
      <c r="K464" s="4" t="str">
        <f>HYPERLINK("http://141.218.60.56/~jnz1568/getInfo.php?workbook=10_02.xlsx&amp;sheet=A0&amp;row=464&amp;col=11&amp;number=5168800000&amp;sourceID=46","5168800000")</f>
        <v>5168800000</v>
      </c>
      <c r="L464" s="4" t="str">
        <f>HYPERLINK("http://141.218.60.56/~jnz1568/getInfo.php?workbook=10_02.xlsx&amp;sheet=A0&amp;row=464&amp;col=12&amp;number=&amp;sourceID=47","")</f>
        <v/>
      </c>
    </row>
    <row r="465" spans="1:12">
      <c r="A465" s="3">
        <v>10</v>
      </c>
      <c r="B465" s="3">
        <v>2</v>
      </c>
      <c r="C465" s="3">
        <v>34</v>
      </c>
      <c r="D465" s="3">
        <v>32</v>
      </c>
      <c r="E465" s="3">
        <f>((1/(INDEX(E0!J$4:J$52,C465,1)-INDEX(E0!J$4:J$52,D465,1))))*100000000</f>
        <v>0</v>
      </c>
      <c r="F465" s="4" t="str">
        <f>HYPERLINK("http://141.218.60.56/~jnz1568/getInfo.php?workbook=10_02.xlsx&amp;sheet=A0&amp;row=465&amp;col=6&amp;number=&amp;sourceID=27","")</f>
        <v/>
      </c>
      <c r="G465" s="4" t="str">
        <f>HYPERLINK("http://141.218.60.56/~jnz1568/getInfo.php?workbook=10_02.xlsx&amp;sheet=A0&amp;row=465&amp;col=7&amp;number=&amp;sourceID=32","")</f>
        <v/>
      </c>
      <c r="H465" s="4" t="str">
        <f>HYPERLINK("http://141.218.60.56/~jnz1568/getInfo.php?workbook=10_02.xlsx&amp;sheet=A0&amp;row=465&amp;col=8&amp;number=&amp;sourceID=32","")</f>
        <v/>
      </c>
      <c r="I465" s="4" t="str">
        <f>HYPERLINK("http://141.218.60.56/~jnz1568/getInfo.php?workbook=10_02.xlsx&amp;sheet=A0&amp;row=465&amp;col=9&amp;number=2.114e-05&amp;sourceID=32","2.114e-05")</f>
        <v>2.114e-05</v>
      </c>
      <c r="J465" s="4" t="str">
        <f>HYPERLINK("http://141.218.60.56/~jnz1568/getInfo.php?workbook=10_02.xlsx&amp;sheet=A0&amp;row=465&amp;col=10&amp;number=&amp;sourceID=32","")</f>
        <v/>
      </c>
      <c r="K465" s="4" t="str">
        <f>HYPERLINK("http://141.218.60.56/~jnz1568/getInfo.php?workbook=10_02.xlsx&amp;sheet=A0&amp;row=465&amp;col=11&amp;number=&amp;sourceID=46","")</f>
        <v/>
      </c>
      <c r="L465" s="4" t="str">
        <f>HYPERLINK("http://141.218.60.56/~jnz1568/getInfo.php?workbook=10_02.xlsx&amp;sheet=A0&amp;row=465&amp;col=12&amp;number=&amp;sourceID=47","")</f>
        <v/>
      </c>
    </row>
    <row r="466" spans="1:12">
      <c r="A466" s="3">
        <v>10</v>
      </c>
      <c r="B466" s="3">
        <v>2</v>
      </c>
      <c r="C466" s="3">
        <v>35</v>
      </c>
      <c r="D466" s="3">
        <v>1</v>
      </c>
      <c r="E466" s="3">
        <f>((1/(INDEX(E0!J$4:J$52,C466,1)-INDEX(E0!J$4:J$52,D466,1))))*100000000</f>
        <v>0</v>
      </c>
      <c r="F466" s="4" t="str">
        <f>HYPERLINK("http://141.218.60.56/~jnz1568/getInfo.php?workbook=10_02.xlsx&amp;sheet=A0&amp;row=466&amp;col=6&amp;number=&amp;sourceID=27","")</f>
        <v/>
      </c>
      <c r="G466" s="4" t="str">
        <f>HYPERLINK("http://141.218.60.56/~jnz1568/getInfo.php?workbook=10_02.xlsx&amp;sheet=A0&amp;row=466&amp;col=7&amp;number=352500000&amp;sourceID=32","352500000")</f>
        <v>352500000</v>
      </c>
      <c r="H466" s="4" t="str">
        <f>HYPERLINK("http://141.218.60.56/~jnz1568/getInfo.php?workbook=10_02.xlsx&amp;sheet=A0&amp;row=466&amp;col=8&amp;number=&amp;sourceID=32","")</f>
        <v/>
      </c>
      <c r="I466" s="4" t="str">
        <f>HYPERLINK("http://141.218.60.56/~jnz1568/getInfo.php?workbook=10_02.xlsx&amp;sheet=A0&amp;row=466&amp;col=9&amp;number=&amp;sourceID=32","")</f>
        <v/>
      </c>
      <c r="J466" s="4" t="str">
        <f>HYPERLINK("http://141.218.60.56/~jnz1568/getInfo.php?workbook=10_02.xlsx&amp;sheet=A0&amp;row=466&amp;col=10&amp;number=&amp;sourceID=32","")</f>
        <v/>
      </c>
      <c r="K466" s="4" t="str">
        <f>HYPERLINK("http://141.218.60.56/~jnz1568/getInfo.php?workbook=10_02.xlsx&amp;sheet=A0&amp;row=466&amp;col=11&amp;number=369820000&amp;sourceID=46","369820000")</f>
        <v>369820000</v>
      </c>
      <c r="L466" s="4" t="str">
        <f>HYPERLINK("http://141.218.60.56/~jnz1568/getInfo.php?workbook=10_02.xlsx&amp;sheet=A0&amp;row=466&amp;col=12&amp;number=&amp;sourceID=47","")</f>
        <v/>
      </c>
    </row>
    <row r="467" spans="1:12">
      <c r="A467" s="3">
        <v>10</v>
      </c>
      <c r="B467" s="3">
        <v>2</v>
      </c>
      <c r="C467" s="3">
        <v>35</v>
      </c>
      <c r="D467" s="3">
        <v>2</v>
      </c>
      <c r="E467" s="3">
        <f>((1/(INDEX(E0!J$4:J$52,C467,1)-INDEX(E0!J$4:J$52,D467,1))))*100000000</f>
        <v>0</v>
      </c>
      <c r="F467" s="4" t="str">
        <f>HYPERLINK("http://141.218.60.56/~jnz1568/getInfo.php?workbook=10_02.xlsx&amp;sheet=A0&amp;row=467&amp;col=6&amp;number=&amp;sourceID=27","")</f>
        <v/>
      </c>
      <c r="G467" s="4" t="str">
        <f>HYPERLINK("http://141.218.60.56/~jnz1568/getInfo.php?workbook=10_02.xlsx&amp;sheet=A0&amp;row=467&amp;col=7&amp;number=33570000000&amp;sourceID=32","33570000000")</f>
        <v>33570000000</v>
      </c>
      <c r="H467" s="4" t="str">
        <f>HYPERLINK("http://141.218.60.56/~jnz1568/getInfo.php?workbook=10_02.xlsx&amp;sheet=A0&amp;row=467&amp;col=8&amp;number=&amp;sourceID=32","")</f>
        <v/>
      </c>
      <c r="I467" s="4" t="str">
        <f>HYPERLINK("http://141.218.60.56/~jnz1568/getInfo.php?workbook=10_02.xlsx&amp;sheet=A0&amp;row=467&amp;col=9&amp;number=&amp;sourceID=32","")</f>
        <v/>
      </c>
      <c r="J467" s="4" t="str">
        <f>HYPERLINK("http://141.218.60.56/~jnz1568/getInfo.php?workbook=10_02.xlsx&amp;sheet=A0&amp;row=467&amp;col=10&amp;number=452.2&amp;sourceID=32","452.2")</f>
        <v>452.2</v>
      </c>
      <c r="K467" s="4" t="str">
        <f>HYPERLINK("http://141.218.60.56/~jnz1568/getInfo.php?workbook=10_02.xlsx&amp;sheet=A0&amp;row=467&amp;col=11&amp;number=31611000000&amp;sourceID=46","31611000000")</f>
        <v>31611000000</v>
      </c>
      <c r="L467" s="4" t="str">
        <f>HYPERLINK("http://141.218.60.56/~jnz1568/getInfo.php?workbook=10_02.xlsx&amp;sheet=A0&amp;row=467&amp;col=12&amp;number=&amp;sourceID=47","")</f>
        <v/>
      </c>
    </row>
    <row r="468" spans="1:12">
      <c r="A468" s="3">
        <v>10</v>
      </c>
      <c r="B468" s="3">
        <v>2</v>
      </c>
      <c r="C468" s="3">
        <v>35</v>
      </c>
      <c r="D468" s="3">
        <v>3</v>
      </c>
      <c r="E468" s="3">
        <f>((1/(INDEX(E0!J$4:J$52,C468,1)-INDEX(E0!J$4:J$52,D468,1))))*100000000</f>
        <v>0</v>
      </c>
      <c r="F468" s="4" t="str">
        <f>HYPERLINK("http://141.218.60.56/~jnz1568/getInfo.php?workbook=10_02.xlsx&amp;sheet=A0&amp;row=468&amp;col=6&amp;number=&amp;sourceID=27","")</f>
        <v/>
      </c>
      <c r="G468" s="4" t="str">
        <f>HYPERLINK("http://141.218.60.56/~jnz1568/getInfo.php?workbook=10_02.xlsx&amp;sheet=A0&amp;row=468&amp;col=7&amp;number=&amp;sourceID=32","")</f>
        <v/>
      </c>
      <c r="H468" s="4" t="str">
        <f>HYPERLINK("http://141.218.60.56/~jnz1568/getInfo.php?workbook=10_02.xlsx&amp;sheet=A0&amp;row=468&amp;col=8&amp;number=&amp;sourceID=32","")</f>
        <v/>
      </c>
      <c r="I468" s="4" t="str">
        <f>HYPERLINK("http://141.218.60.56/~jnz1568/getInfo.php?workbook=10_02.xlsx&amp;sheet=A0&amp;row=468&amp;col=9&amp;number=0.6665&amp;sourceID=32","0.6665")</f>
        <v>0.6665</v>
      </c>
      <c r="J468" s="4" t="str">
        <f>HYPERLINK("http://141.218.60.56/~jnz1568/getInfo.php?workbook=10_02.xlsx&amp;sheet=A0&amp;row=468&amp;col=10&amp;number=&amp;sourceID=32","")</f>
        <v/>
      </c>
      <c r="K468" s="4" t="str">
        <f>HYPERLINK("http://141.218.60.56/~jnz1568/getInfo.php?workbook=10_02.xlsx&amp;sheet=A0&amp;row=468&amp;col=11&amp;number=&amp;sourceID=46","")</f>
        <v/>
      </c>
      <c r="L468" s="4" t="str">
        <f>HYPERLINK("http://141.218.60.56/~jnz1568/getInfo.php?workbook=10_02.xlsx&amp;sheet=A0&amp;row=468&amp;col=12&amp;number=&amp;sourceID=47","")</f>
        <v/>
      </c>
    </row>
    <row r="469" spans="1:12">
      <c r="A469" s="3">
        <v>10</v>
      </c>
      <c r="B469" s="3">
        <v>2</v>
      </c>
      <c r="C469" s="3">
        <v>35</v>
      </c>
      <c r="D469" s="3">
        <v>4</v>
      </c>
      <c r="E469" s="3">
        <f>((1/(INDEX(E0!J$4:J$52,C469,1)-INDEX(E0!J$4:J$52,D469,1))))*100000000</f>
        <v>0</v>
      </c>
      <c r="F469" s="4" t="str">
        <f>HYPERLINK("http://141.218.60.56/~jnz1568/getInfo.php?workbook=10_02.xlsx&amp;sheet=A0&amp;row=469&amp;col=6&amp;number=&amp;sourceID=27","")</f>
        <v/>
      </c>
      <c r="G469" s="4" t="str">
        <f>HYPERLINK("http://141.218.60.56/~jnz1568/getInfo.php?workbook=10_02.xlsx&amp;sheet=A0&amp;row=469&amp;col=7&amp;number=&amp;sourceID=32","")</f>
        <v/>
      </c>
      <c r="H469" s="4" t="str">
        <f>HYPERLINK("http://141.218.60.56/~jnz1568/getInfo.php?workbook=10_02.xlsx&amp;sheet=A0&amp;row=469&amp;col=8&amp;number=727900&amp;sourceID=32","727900")</f>
        <v>727900</v>
      </c>
      <c r="I469" s="4" t="str">
        <f>HYPERLINK("http://141.218.60.56/~jnz1568/getInfo.php?workbook=10_02.xlsx&amp;sheet=A0&amp;row=469&amp;col=9&amp;number=2.554&amp;sourceID=32","2.554")</f>
        <v>2.554</v>
      </c>
      <c r="J469" s="4" t="str">
        <f>HYPERLINK("http://141.218.60.56/~jnz1568/getInfo.php?workbook=10_02.xlsx&amp;sheet=A0&amp;row=469&amp;col=10&amp;number=&amp;sourceID=32","")</f>
        <v/>
      </c>
      <c r="K469" s="4" t="str">
        <f>HYPERLINK("http://141.218.60.56/~jnz1568/getInfo.php?workbook=10_02.xlsx&amp;sheet=A0&amp;row=469&amp;col=11&amp;number=654510&amp;sourceID=46","654510")</f>
        <v>654510</v>
      </c>
      <c r="L469" s="4" t="str">
        <f>HYPERLINK("http://141.218.60.56/~jnz1568/getInfo.php?workbook=10_02.xlsx&amp;sheet=A0&amp;row=469&amp;col=12&amp;number=&amp;sourceID=47","")</f>
        <v/>
      </c>
    </row>
    <row r="470" spans="1:12">
      <c r="A470" s="3">
        <v>10</v>
      </c>
      <c r="B470" s="3">
        <v>2</v>
      </c>
      <c r="C470" s="3">
        <v>35</v>
      </c>
      <c r="D470" s="3">
        <v>5</v>
      </c>
      <c r="E470" s="3">
        <f>((1/(INDEX(E0!J$4:J$52,C470,1)-INDEX(E0!J$4:J$52,D470,1))))*100000000</f>
        <v>0</v>
      </c>
      <c r="F470" s="4" t="str">
        <f>HYPERLINK("http://141.218.60.56/~jnz1568/getInfo.php?workbook=10_02.xlsx&amp;sheet=A0&amp;row=470&amp;col=6&amp;number=&amp;sourceID=27","")</f>
        <v/>
      </c>
      <c r="G470" s="4" t="str">
        <f>HYPERLINK("http://141.218.60.56/~jnz1568/getInfo.php?workbook=10_02.xlsx&amp;sheet=A0&amp;row=470&amp;col=7&amp;number=&amp;sourceID=32","")</f>
        <v/>
      </c>
      <c r="H470" s="4" t="str">
        <f>HYPERLINK("http://141.218.60.56/~jnz1568/getInfo.php?workbook=10_02.xlsx&amp;sheet=A0&amp;row=470&amp;col=8&amp;number=2185000&amp;sourceID=32","2185000")</f>
        <v>2185000</v>
      </c>
      <c r="I470" s="4" t="str">
        <f>HYPERLINK("http://141.218.60.56/~jnz1568/getInfo.php?workbook=10_02.xlsx&amp;sheet=A0&amp;row=470&amp;col=9&amp;number=4.881&amp;sourceID=32","4.881")</f>
        <v>4.881</v>
      </c>
      <c r="J470" s="4" t="str">
        <f>HYPERLINK("http://141.218.60.56/~jnz1568/getInfo.php?workbook=10_02.xlsx&amp;sheet=A0&amp;row=470&amp;col=10&amp;number=&amp;sourceID=32","")</f>
        <v/>
      </c>
      <c r="K470" s="4" t="str">
        <f>HYPERLINK("http://141.218.60.56/~jnz1568/getInfo.php?workbook=10_02.xlsx&amp;sheet=A0&amp;row=470&amp;col=11&amp;number=1853700&amp;sourceID=46","1853700")</f>
        <v>1853700</v>
      </c>
      <c r="L470" s="4" t="str">
        <f>HYPERLINK("http://141.218.60.56/~jnz1568/getInfo.php?workbook=10_02.xlsx&amp;sheet=A0&amp;row=470&amp;col=12&amp;number=&amp;sourceID=47","")</f>
        <v/>
      </c>
    </row>
    <row r="471" spans="1:12">
      <c r="A471" s="3">
        <v>10</v>
      </c>
      <c r="B471" s="3">
        <v>2</v>
      </c>
      <c r="C471" s="3">
        <v>35</v>
      </c>
      <c r="D471" s="3">
        <v>6</v>
      </c>
      <c r="E471" s="3">
        <f>((1/(INDEX(E0!J$4:J$52,C471,1)-INDEX(E0!J$4:J$52,D471,1))))*100000000</f>
        <v>0</v>
      </c>
      <c r="F471" s="4" t="str">
        <f>HYPERLINK("http://141.218.60.56/~jnz1568/getInfo.php?workbook=10_02.xlsx&amp;sheet=A0&amp;row=471&amp;col=6&amp;number=&amp;sourceID=27","")</f>
        <v/>
      </c>
      <c r="G471" s="4" t="str">
        <f>HYPERLINK("http://141.218.60.56/~jnz1568/getInfo.php?workbook=10_02.xlsx&amp;sheet=A0&amp;row=471&amp;col=7&amp;number=23040000&amp;sourceID=32","23040000")</f>
        <v>23040000</v>
      </c>
      <c r="H471" s="4" t="str">
        <f>HYPERLINK("http://141.218.60.56/~jnz1568/getInfo.php?workbook=10_02.xlsx&amp;sheet=A0&amp;row=471&amp;col=8&amp;number=&amp;sourceID=32","")</f>
        <v/>
      </c>
      <c r="I471" s="4" t="str">
        <f>HYPERLINK("http://141.218.60.56/~jnz1568/getInfo.php?workbook=10_02.xlsx&amp;sheet=A0&amp;row=471&amp;col=9&amp;number=&amp;sourceID=32","")</f>
        <v/>
      </c>
      <c r="J471" s="4" t="str">
        <f>HYPERLINK("http://141.218.60.56/~jnz1568/getInfo.php?workbook=10_02.xlsx&amp;sheet=A0&amp;row=471&amp;col=10&amp;number=&amp;sourceID=32","")</f>
        <v/>
      </c>
      <c r="K471" s="4" t="str">
        <f>HYPERLINK("http://141.218.60.56/~jnz1568/getInfo.php?workbook=10_02.xlsx&amp;sheet=A0&amp;row=471&amp;col=11&amp;number=19644000&amp;sourceID=46","19644000")</f>
        <v>19644000</v>
      </c>
      <c r="L471" s="4" t="str">
        <f>HYPERLINK("http://141.218.60.56/~jnz1568/getInfo.php?workbook=10_02.xlsx&amp;sheet=A0&amp;row=471&amp;col=12&amp;number=&amp;sourceID=47","")</f>
        <v/>
      </c>
    </row>
    <row r="472" spans="1:12">
      <c r="A472" s="3">
        <v>10</v>
      </c>
      <c r="B472" s="3">
        <v>2</v>
      </c>
      <c r="C472" s="3">
        <v>35</v>
      </c>
      <c r="D472" s="3">
        <v>7</v>
      </c>
      <c r="E472" s="3">
        <f>((1/(INDEX(E0!J$4:J$52,C472,1)-INDEX(E0!J$4:J$52,D472,1))))*100000000</f>
        <v>0</v>
      </c>
      <c r="F472" s="4" t="str">
        <f>HYPERLINK("http://141.218.60.56/~jnz1568/getInfo.php?workbook=10_02.xlsx&amp;sheet=A0&amp;row=472&amp;col=6&amp;number=&amp;sourceID=27","")</f>
        <v/>
      </c>
      <c r="G472" s="4" t="str">
        <f>HYPERLINK("http://141.218.60.56/~jnz1568/getInfo.php?workbook=10_02.xlsx&amp;sheet=A0&amp;row=472&amp;col=7&amp;number=&amp;sourceID=32","")</f>
        <v/>
      </c>
      <c r="H472" s="4" t="str">
        <f>HYPERLINK("http://141.218.60.56/~jnz1568/getInfo.php?workbook=10_02.xlsx&amp;sheet=A0&amp;row=472&amp;col=8&amp;number=3834&amp;sourceID=32","3834")</f>
        <v>3834</v>
      </c>
      <c r="I472" s="4" t="str">
        <f>HYPERLINK("http://141.218.60.56/~jnz1568/getInfo.php?workbook=10_02.xlsx&amp;sheet=A0&amp;row=472&amp;col=9&amp;number=6.164&amp;sourceID=32","6.164")</f>
        <v>6.164</v>
      </c>
      <c r="J472" s="4" t="str">
        <f>HYPERLINK("http://141.218.60.56/~jnz1568/getInfo.php?workbook=10_02.xlsx&amp;sheet=A0&amp;row=472&amp;col=10&amp;number=&amp;sourceID=32","")</f>
        <v/>
      </c>
      <c r="K472" s="4" t="str">
        <f>HYPERLINK("http://141.218.60.56/~jnz1568/getInfo.php?workbook=10_02.xlsx&amp;sheet=A0&amp;row=472&amp;col=11&amp;number=1541.3&amp;sourceID=46","1541.3")</f>
        <v>1541.3</v>
      </c>
      <c r="L472" s="4" t="str">
        <f>HYPERLINK("http://141.218.60.56/~jnz1568/getInfo.php?workbook=10_02.xlsx&amp;sheet=A0&amp;row=472&amp;col=12&amp;number=&amp;sourceID=47","")</f>
        <v/>
      </c>
    </row>
    <row r="473" spans="1:12">
      <c r="A473" s="3">
        <v>10</v>
      </c>
      <c r="B473" s="3">
        <v>2</v>
      </c>
      <c r="C473" s="3">
        <v>35</v>
      </c>
      <c r="D473" s="3">
        <v>8</v>
      </c>
      <c r="E473" s="3">
        <f>((1/(INDEX(E0!J$4:J$52,C473,1)-INDEX(E0!J$4:J$52,D473,1))))*100000000</f>
        <v>0</v>
      </c>
      <c r="F473" s="4" t="str">
        <f>HYPERLINK("http://141.218.60.56/~jnz1568/getInfo.php?workbook=10_02.xlsx&amp;sheet=A0&amp;row=473&amp;col=6&amp;number=&amp;sourceID=27","")</f>
        <v/>
      </c>
      <c r="G473" s="4" t="str">
        <f>HYPERLINK("http://141.218.60.56/~jnz1568/getInfo.php?workbook=10_02.xlsx&amp;sheet=A0&amp;row=473&amp;col=7&amp;number=10390000000&amp;sourceID=32","10390000000")</f>
        <v>10390000000</v>
      </c>
      <c r="H473" s="4" t="str">
        <f>HYPERLINK("http://141.218.60.56/~jnz1568/getInfo.php?workbook=10_02.xlsx&amp;sheet=A0&amp;row=473&amp;col=8&amp;number=&amp;sourceID=32","")</f>
        <v/>
      </c>
      <c r="I473" s="4" t="str">
        <f>HYPERLINK("http://141.218.60.56/~jnz1568/getInfo.php?workbook=10_02.xlsx&amp;sheet=A0&amp;row=473&amp;col=9&amp;number=&amp;sourceID=32","")</f>
        <v/>
      </c>
      <c r="J473" s="4" t="str">
        <f>HYPERLINK("http://141.218.60.56/~jnz1568/getInfo.php?workbook=10_02.xlsx&amp;sheet=A0&amp;row=473&amp;col=10&amp;number=15.61&amp;sourceID=32","15.61")</f>
        <v>15.61</v>
      </c>
      <c r="K473" s="4" t="str">
        <f>HYPERLINK("http://141.218.60.56/~jnz1568/getInfo.php?workbook=10_02.xlsx&amp;sheet=A0&amp;row=473&amp;col=11&amp;number=10129000000&amp;sourceID=46","10129000000")</f>
        <v>10129000000</v>
      </c>
      <c r="L473" s="4" t="str">
        <f>HYPERLINK("http://141.218.60.56/~jnz1568/getInfo.php?workbook=10_02.xlsx&amp;sheet=A0&amp;row=473&amp;col=12&amp;number=&amp;sourceID=47","")</f>
        <v/>
      </c>
    </row>
    <row r="474" spans="1:12">
      <c r="A474" s="3">
        <v>10</v>
      </c>
      <c r="B474" s="3">
        <v>2</v>
      </c>
      <c r="C474" s="3">
        <v>35</v>
      </c>
      <c r="D474" s="3">
        <v>9</v>
      </c>
      <c r="E474" s="3">
        <f>((1/(INDEX(E0!J$4:J$52,C474,1)-INDEX(E0!J$4:J$52,D474,1))))*100000000</f>
        <v>0</v>
      </c>
      <c r="F474" s="4" t="str">
        <f>HYPERLINK("http://141.218.60.56/~jnz1568/getInfo.php?workbook=10_02.xlsx&amp;sheet=A0&amp;row=474&amp;col=6&amp;number=&amp;sourceID=27","")</f>
        <v/>
      </c>
      <c r="G474" s="4" t="str">
        <f>HYPERLINK("http://141.218.60.56/~jnz1568/getInfo.php?workbook=10_02.xlsx&amp;sheet=A0&amp;row=474&amp;col=7&amp;number=&amp;sourceID=32","")</f>
        <v/>
      </c>
      <c r="H474" s="4" t="str">
        <f>HYPERLINK("http://141.218.60.56/~jnz1568/getInfo.php?workbook=10_02.xlsx&amp;sheet=A0&amp;row=474&amp;col=8&amp;number=&amp;sourceID=32","")</f>
        <v/>
      </c>
      <c r="I474" s="4" t="str">
        <f>HYPERLINK("http://141.218.60.56/~jnz1568/getInfo.php?workbook=10_02.xlsx&amp;sheet=A0&amp;row=474&amp;col=9&amp;number=0.04645&amp;sourceID=32","0.04645")</f>
        <v>0.04645</v>
      </c>
      <c r="J474" s="4" t="str">
        <f>HYPERLINK("http://141.218.60.56/~jnz1568/getInfo.php?workbook=10_02.xlsx&amp;sheet=A0&amp;row=474&amp;col=10&amp;number=&amp;sourceID=32","")</f>
        <v/>
      </c>
      <c r="K474" s="4" t="str">
        <f>HYPERLINK("http://141.218.60.56/~jnz1568/getInfo.php?workbook=10_02.xlsx&amp;sheet=A0&amp;row=474&amp;col=11&amp;number=&amp;sourceID=46","")</f>
        <v/>
      </c>
      <c r="L474" s="4" t="str">
        <f>HYPERLINK("http://141.218.60.56/~jnz1568/getInfo.php?workbook=10_02.xlsx&amp;sheet=A0&amp;row=474&amp;col=12&amp;number=&amp;sourceID=47","")</f>
        <v/>
      </c>
    </row>
    <row r="475" spans="1:12">
      <c r="A475" s="3">
        <v>10</v>
      </c>
      <c r="B475" s="3">
        <v>2</v>
      </c>
      <c r="C475" s="3">
        <v>35</v>
      </c>
      <c r="D475" s="3">
        <v>10</v>
      </c>
      <c r="E475" s="3">
        <f>((1/(INDEX(E0!J$4:J$52,C475,1)-INDEX(E0!J$4:J$52,D475,1))))*100000000</f>
        <v>0</v>
      </c>
      <c r="F475" s="4" t="str">
        <f>HYPERLINK("http://141.218.60.56/~jnz1568/getInfo.php?workbook=10_02.xlsx&amp;sheet=A0&amp;row=475&amp;col=6&amp;number=&amp;sourceID=27","")</f>
        <v/>
      </c>
      <c r="G475" s="4" t="str">
        <f>HYPERLINK("http://141.218.60.56/~jnz1568/getInfo.php?workbook=10_02.xlsx&amp;sheet=A0&amp;row=475&amp;col=7&amp;number=&amp;sourceID=32","")</f>
        <v/>
      </c>
      <c r="H475" s="4" t="str">
        <f>HYPERLINK("http://141.218.60.56/~jnz1568/getInfo.php?workbook=10_02.xlsx&amp;sheet=A0&amp;row=475&amp;col=8&amp;number=195500&amp;sourceID=32","195500")</f>
        <v>195500</v>
      </c>
      <c r="I475" s="4" t="str">
        <f>HYPERLINK("http://141.218.60.56/~jnz1568/getInfo.php?workbook=10_02.xlsx&amp;sheet=A0&amp;row=475&amp;col=9&amp;number=0.07533&amp;sourceID=32","0.07533")</f>
        <v>0.07533</v>
      </c>
      <c r="J475" s="4" t="str">
        <f>HYPERLINK("http://141.218.60.56/~jnz1568/getInfo.php?workbook=10_02.xlsx&amp;sheet=A0&amp;row=475&amp;col=10&amp;number=&amp;sourceID=32","")</f>
        <v/>
      </c>
      <c r="K475" s="4" t="str">
        <f>HYPERLINK("http://141.218.60.56/~jnz1568/getInfo.php?workbook=10_02.xlsx&amp;sheet=A0&amp;row=475&amp;col=11&amp;number=192650&amp;sourceID=46","192650")</f>
        <v>192650</v>
      </c>
      <c r="L475" s="4" t="str">
        <f>HYPERLINK("http://141.218.60.56/~jnz1568/getInfo.php?workbook=10_02.xlsx&amp;sheet=A0&amp;row=475&amp;col=12&amp;number=&amp;sourceID=47","")</f>
        <v/>
      </c>
    </row>
    <row r="476" spans="1:12">
      <c r="A476" s="3">
        <v>10</v>
      </c>
      <c r="B476" s="3">
        <v>2</v>
      </c>
      <c r="C476" s="3">
        <v>35</v>
      </c>
      <c r="D476" s="3">
        <v>11</v>
      </c>
      <c r="E476" s="3">
        <f>((1/(INDEX(E0!J$4:J$52,C476,1)-INDEX(E0!J$4:J$52,D476,1))))*100000000</f>
        <v>0</v>
      </c>
      <c r="F476" s="4" t="str">
        <f>HYPERLINK("http://141.218.60.56/~jnz1568/getInfo.php?workbook=10_02.xlsx&amp;sheet=A0&amp;row=476&amp;col=6&amp;number=&amp;sourceID=27","")</f>
        <v/>
      </c>
      <c r="G476" s="4" t="str">
        <f>HYPERLINK("http://141.218.60.56/~jnz1568/getInfo.php?workbook=10_02.xlsx&amp;sheet=A0&amp;row=476&amp;col=7&amp;number=7612000&amp;sourceID=32","7612000")</f>
        <v>7612000</v>
      </c>
      <c r="H476" s="4" t="str">
        <f>HYPERLINK("http://141.218.60.56/~jnz1568/getInfo.php?workbook=10_02.xlsx&amp;sheet=A0&amp;row=476&amp;col=8&amp;number=&amp;sourceID=32","")</f>
        <v/>
      </c>
      <c r="I476" s="4" t="str">
        <f>HYPERLINK("http://141.218.60.56/~jnz1568/getInfo.php?workbook=10_02.xlsx&amp;sheet=A0&amp;row=476&amp;col=9&amp;number=&amp;sourceID=32","")</f>
        <v/>
      </c>
      <c r="J476" s="4" t="str">
        <f>HYPERLINK("http://141.218.60.56/~jnz1568/getInfo.php?workbook=10_02.xlsx&amp;sheet=A0&amp;row=476&amp;col=10&amp;number=&amp;sourceID=32","")</f>
        <v/>
      </c>
      <c r="K476" s="4" t="str">
        <f>HYPERLINK("http://141.218.60.56/~jnz1568/getInfo.php?workbook=10_02.xlsx&amp;sheet=A0&amp;row=476&amp;col=11&amp;number=5695100&amp;sourceID=46","5695100")</f>
        <v>5695100</v>
      </c>
      <c r="L476" s="4" t="str">
        <f>HYPERLINK("http://141.218.60.56/~jnz1568/getInfo.php?workbook=10_02.xlsx&amp;sheet=A0&amp;row=476&amp;col=12&amp;number=&amp;sourceID=47","")</f>
        <v/>
      </c>
    </row>
    <row r="477" spans="1:12">
      <c r="A477" s="3">
        <v>10</v>
      </c>
      <c r="B477" s="3">
        <v>2</v>
      </c>
      <c r="C477" s="3">
        <v>35</v>
      </c>
      <c r="D477" s="3">
        <v>12</v>
      </c>
      <c r="E477" s="3">
        <f>((1/(INDEX(E0!J$4:J$52,C477,1)-INDEX(E0!J$4:J$52,D477,1))))*100000000</f>
        <v>0</v>
      </c>
      <c r="F477" s="4" t="str">
        <f>HYPERLINK("http://141.218.60.56/~jnz1568/getInfo.php?workbook=10_02.xlsx&amp;sheet=A0&amp;row=477&amp;col=6&amp;number=&amp;sourceID=27","")</f>
        <v/>
      </c>
      <c r="G477" s="4" t="str">
        <f>HYPERLINK("http://141.218.60.56/~jnz1568/getInfo.php?workbook=10_02.xlsx&amp;sheet=A0&amp;row=477&amp;col=7&amp;number=&amp;sourceID=32","")</f>
        <v/>
      </c>
      <c r="H477" s="4" t="str">
        <f>HYPERLINK("http://141.218.60.56/~jnz1568/getInfo.php?workbook=10_02.xlsx&amp;sheet=A0&amp;row=477&amp;col=8&amp;number=587500&amp;sourceID=32","587500")</f>
        <v>587500</v>
      </c>
      <c r="I477" s="4" t="str">
        <f>HYPERLINK("http://141.218.60.56/~jnz1568/getInfo.php?workbook=10_02.xlsx&amp;sheet=A0&amp;row=477&amp;col=9&amp;number=0.5836&amp;sourceID=32","0.5836")</f>
        <v>0.5836</v>
      </c>
      <c r="J477" s="4" t="str">
        <f>HYPERLINK("http://141.218.60.56/~jnz1568/getInfo.php?workbook=10_02.xlsx&amp;sheet=A0&amp;row=477&amp;col=10&amp;number=&amp;sourceID=32","")</f>
        <v/>
      </c>
      <c r="K477" s="4" t="str">
        <f>HYPERLINK("http://141.218.60.56/~jnz1568/getInfo.php?workbook=10_02.xlsx&amp;sheet=A0&amp;row=477&amp;col=11&amp;number=573740&amp;sourceID=46","573740")</f>
        <v>573740</v>
      </c>
      <c r="L477" s="4" t="str">
        <f>HYPERLINK("http://141.218.60.56/~jnz1568/getInfo.php?workbook=10_02.xlsx&amp;sheet=A0&amp;row=477&amp;col=12&amp;number=&amp;sourceID=47","")</f>
        <v/>
      </c>
    </row>
    <row r="478" spans="1:12">
      <c r="A478" s="3">
        <v>10</v>
      </c>
      <c r="B478" s="3">
        <v>2</v>
      </c>
      <c r="C478" s="3">
        <v>35</v>
      </c>
      <c r="D478" s="3">
        <v>13</v>
      </c>
      <c r="E478" s="3">
        <f>((1/(INDEX(E0!J$4:J$52,C478,1)-INDEX(E0!J$4:J$52,D478,1))))*100000000</f>
        <v>0</v>
      </c>
      <c r="F478" s="4" t="str">
        <f>HYPERLINK("http://141.218.60.56/~jnz1568/getInfo.php?workbook=10_02.xlsx&amp;sheet=A0&amp;row=478&amp;col=6&amp;number=&amp;sourceID=27","")</f>
        <v/>
      </c>
      <c r="G478" s="4" t="str">
        <f>HYPERLINK("http://141.218.60.56/~jnz1568/getInfo.php?workbook=10_02.xlsx&amp;sheet=A0&amp;row=478&amp;col=7&amp;number=297100000&amp;sourceID=32","297100000")</f>
        <v>297100000</v>
      </c>
      <c r="H478" s="4" t="str">
        <f>HYPERLINK("http://141.218.60.56/~jnz1568/getInfo.php?workbook=10_02.xlsx&amp;sheet=A0&amp;row=478&amp;col=8&amp;number=&amp;sourceID=32","")</f>
        <v/>
      </c>
      <c r="I478" s="4" t="str">
        <f>HYPERLINK("http://141.218.60.56/~jnz1568/getInfo.php?workbook=10_02.xlsx&amp;sheet=A0&amp;row=478&amp;col=9&amp;number=&amp;sourceID=32","")</f>
        <v/>
      </c>
      <c r="J478" s="4" t="str">
        <f>HYPERLINK("http://141.218.60.56/~jnz1568/getInfo.php?workbook=10_02.xlsx&amp;sheet=A0&amp;row=478&amp;col=10&amp;number=0.07203&amp;sourceID=32","0.07203")</f>
        <v>0.07203</v>
      </c>
      <c r="K478" s="4" t="str">
        <f>HYPERLINK("http://141.218.60.56/~jnz1568/getInfo.php?workbook=10_02.xlsx&amp;sheet=A0&amp;row=478&amp;col=11&amp;number=296040000&amp;sourceID=46","296040000")</f>
        <v>296040000</v>
      </c>
      <c r="L478" s="4" t="str">
        <f>HYPERLINK("http://141.218.60.56/~jnz1568/getInfo.php?workbook=10_02.xlsx&amp;sheet=A0&amp;row=478&amp;col=12&amp;number=&amp;sourceID=47","")</f>
        <v/>
      </c>
    </row>
    <row r="479" spans="1:12">
      <c r="A479" s="3">
        <v>10</v>
      </c>
      <c r="B479" s="3">
        <v>2</v>
      </c>
      <c r="C479" s="3">
        <v>35</v>
      </c>
      <c r="D479" s="3">
        <v>14</v>
      </c>
      <c r="E479" s="3">
        <f>((1/(INDEX(E0!J$4:J$52,C479,1)-INDEX(E0!J$4:J$52,D479,1))))*100000000</f>
        <v>0</v>
      </c>
      <c r="F479" s="4" t="str">
        <f>HYPERLINK("http://141.218.60.56/~jnz1568/getInfo.php?workbook=10_02.xlsx&amp;sheet=A0&amp;row=479&amp;col=6&amp;number=&amp;sourceID=27","")</f>
        <v/>
      </c>
      <c r="G479" s="4" t="str">
        <f>HYPERLINK("http://141.218.60.56/~jnz1568/getInfo.php?workbook=10_02.xlsx&amp;sheet=A0&amp;row=479&amp;col=7&amp;number=862000000&amp;sourceID=32","862000000")</f>
        <v>862000000</v>
      </c>
      <c r="H479" s="4" t="str">
        <f>HYPERLINK("http://141.218.60.56/~jnz1568/getInfo.php?workbook=10_02.xlsx&amp;sheet=A0&amp;row=479&amp;col=8&amp;number=&amp;sourceID=32","")</f>
        <v/>
      </c>
      <c r="I479" s="4" t="str">
        <f>HYPERLINK("http://141.218.60.56/~jnz1568/getInfo.php?workbook=10_02.xlsx&amp;sheet=A0&amp;row=479&amp;col=9&amp;number=&amp;sourceID=32","")</f>
        <v/>
      </c>
      <c r="J479" s="4" t="str">
        <f>HYPERLINK("http://141.218.60.56/~jnz1568/getInfo.php?workbook=10_02.xlsx&amp;sheet=A0&amp;row=479&amp;col=10&amp;number=1.123&amp;sourceID=32","1.123")</f>
        <v>1.123</v>
      </c>
      <c r="K479" s="4" t="str">
        <f>HYPERLINK("http://141.218.60.56/~jnz1568/getInfo.php?workbook=10_02.xlsx&amp;sheet=A0&amp;row=479&amp;col=11&amp;number=868360000&amp;sourceID=46","868360000")</f>
        <v>868360000</v>
      </c>
      <c r="L479" s="4" t="str">
        <f>HYPERLINK("http://141.218.60.56/~jnz1568/getInfo.php?workbook=10_02.xlsx&amp;sheet=A0&amp;row=479&amp;col=12&amp;number=&amp;sourceID=47","")</f>
        <v/>
      </c>
    </row>
    <row r="480" spans="1:12">
      <c r="A480" s="3">
        <v>10</v>
      </c>
      <c r="B480" s="3">
        <v>2</v>
      </c>
      <c r="C480" s="3">
        <v>35</v>
      </c>
      <c r="D480" s="3">
        <v>15</v>
      </c>
      <c r="E480" s="3">
        <f>((1/(INDEX(E0!J$4:J$52,C480,1)-INDEX(E0!J$4:J$52,D480,1))))*100000000</f>
        <v>0</v>
      </c>
      <c r="F480" s="4" t="str">
        <f>HYPERLINK("http://141.218.60.56/~jnz1568/getInfo.php?workbook=10_02.xlsx&amp;sheet=A0&amp;row=480&amp;col=6&amp;number=&amp;sourceID=27","")</f>
        <v/>
      </c>
      <c r="G480" s="4" t="str">
        <f>HYPERLINK("http://141.218.60.56/~jnz1568/getInfo.php?workbook=10_02.xlsx&amp;sheet=A0&amp;row=480&amp;col=7&amp;number=&amp;sourceID=32","")</f>
        <v/>
      </c>
      <c r="H480" s="4" t="str">
        <f>HYPERLINK("http://141.218.60.56/~jnz1568/getInfo.php?workbook=10_02.xlsx&amp;sheet=A0&amp;row=480&amp;col=8&amp;number=&amp;sourceID=32","")</f>
        <v/>
      </c>
      <c r="I480" s="4" t="str">
        <f>HYPERLINK("http://141.218.60.56/~jnz1568/getInfo.php?workbook=10_02.xlsx&amp;sheet=A0&amp;row=480&amp;col=9&amp;number=&amp;sourceID=32","")</f>
        <v/>
      </c>
      <c r="J480" s="4" t="str">
        <f>HYPERLINK("http://141.218.60.56/~jnz1568/getInfo.php?workbook=10_02.xlsx&amp;sheet=A0&amp;row=480&amp;col=10&amp;number=0.2006&amp;sourceID=32","0.2006")</f>
        <v>0.2006</v>
      </c>
      <c r="K480" s="4" t="str">
        <f>HYPERLINK("http://141.218.60.56/~jnz1568/getInfo.php?workbook=10_02.xlsx&amp;sheet=A0&amp;row=480&amp;col=11&amp;number=6.0898&amp;sourceID=46","6.0898")</f>
        <v>6.0898</v>
      </c>
      <c r="L480" s="4" t="str">
        <f>HYPERLINK("http://141.218.60.56/~jnz1568/getInfo.php?workbook=10_02.xlsx&amp;sheet=A0&amp;row=480&amp;col=12&amp;number=&amp;sourceID=47","")</f>
        <v/>
      </c>
    </row>
    <row r="481" spans="1:12">
      <c r="A481" s="3">
        <v>10</v>
      </c>
      <c r="B481" s="3">
        <v>2</v>
      </c>
      <c r="C481" s="3">
        <v>35</v>
      </c>
      <c r="D481" s="3">
        <v>16</v>
      </c>
      <c r="E481" s="3">
        <f>((1/(INDEX(E0!J$4:J$52,C481,1)-INDEX(E0!J$4:J$52,D481,1))))*100000000</f>
        <v>0</v>
      </c>
      <c r="F481" s="4" t="str">
        <f>HYPERLINK("http://141.218.60.56/~jnz1568/getInfo.php?workbook=10_02.xlsx&amp;sheet=A0&amp;row=481&amp;col=6&amp;number=&amp;sourceID=27","")</f>
        <v/>
      </c>
      <c r="G481" s="4" t="str">
        <f>HYPERLINK("http://141.218.60.56/~jnz1568/getInfo.php?workbook=10_02.xlsx&amp;sheet=A0&amp;row=481&amp;col=7&amp;number=28070000&amp;sourceID=32","28070000")</f>
        <v>28070000</v>
      </c>
      <c r="H481" s="4" t="str">
        <f>HYPERLINK("http://141.218.60.56/~jnz1568/getInfo.php?workbook=10_02.xlsx&amp;sheet=A0&amp;row=481&amp;col=8&amp;number=&amp;sourceID=32","")</f>
        <v/>
      </c>
      <c r="I481" s="4" t="str">
        <f>HYPERLINK("http://141.218.60.56/~jnz1568/getInfo.php?workbook=10_02.xlsx&amp;sheet=A0&amp;row=481&amp;col=9&amp;number=&amp;sourceID=32","")</f>
        <v/>
      </c>
      <c r="J481" s="4" t="str">
        <f>HYPERLINK("http://141.218.60.56/~jnz1568/getInfo.php?workbook=10_02.xlsx&amp;sheet=A0&amp;row=481&amp;col=10&amp;number=2.172&amp;sourceID=32","2.172")</f>
        <v>2.172</v>
      </c>
      <c r="K481" s="4" t="str">
        <f>HYPERLINK("http://141.218.60.56/~jnz1568/getInfo.php?workbook=10_02.xlsx&amp;sheet=A0&amp;row=481&amp;col=11&amp;number=17384000&amp;sourceID=46","17384000")</f>
        <v>17384000</v>
      </c>
      <c r="L481" s="4" t="str">
        <f>HYPERLINK("http://141.218.60.56/~jnz1568/getInfo.php?workbook=10_02.xlsx&amp;sheet=A0&amp;row=481&amp;col=12&amp;number=&amp;sourceID=47","")</f>
        <v/>
      </c>
    </row>
    <row r="482" spans="1:12">
      <c r="A482" s="3">
        <v>10</v>
      </c>
      <c r="B482" s="3">
        <v>2</v>
      </c>
      <c r="C482" s="3">
        <v>35</v>
      </c>
      <c r="D482" s="3">
        <v>17</v>
      </c>
      <c r="E482" s="3">
        <f>((1/(INDEX(E0!J$4:J$52,C482,1)-INDEX(E0!J$4:J$52,D482,1))))*100000000</f>
        <v>0</v>
      </c>
      <c r="F482" s="4" t="str">
        <f>HYPERLINK("http://141.218.60.56/~jnz1568/getInfo.php?workbook=10_02.xlsx&amp;sheet=A0&amp;row=482&amp;col=6&amp;number=&amp;sourceID=27","")</f>
        <v/>
      </c>
      <c r="G482" s="4" t="str">
        <f>HYPERLINK("http://141.218.60.56/~jnz1568/getInfo.php?workbook=10_02.xlsx&amp;sheet=A0&amp;row=482&amp;col=7&amp;number=&amp;sourceID=32","")</f>
        <v/>
      </c>
      <c r="H482" s="4" t="str">
        <f>HYPERLINK("http://141.218.60.56/~jnz1568/getInfo.php?workbook=10_02.xlsx&amp;sheet=A0&amp;row=482&amp;col=8&amp;number=1112&amp;sourceID=32","1112")</f>
        <v>1112</v>
      </c>
      <c r="I482" s="4" t="str">
        <f>HYPERLINK("http://141.218.60.56/~jnz1568/getInfo.php?workbook=10_02.xlsx&amp;sheet=A0&amp;row=482&amp;col=9&amp;number=0.5118&amp;sourceID=32","0.5118")</f>
        <v>0.5118</v>
      </c>
      <c r="J482" s="4" t="str">
        <f>HYPERLINK("http://141.218.60.56/~jnz1568/getInfo.php?workbook=10_02.xlsx&amp;sheet=A0&amp;row=482&amp;col=10&amp;number=&amp;sourceID=32","")</f>
        <v/>
      </c>
      <c r="K482" s="4" t="str">
        <f>HYPERLINK("http://141.218.60.56/~jnz1568/getInfo.php?workbook=10_02.xlsx&amp;sheet=A0&amp;row=482&amp;col=11&amp;number=707.2&amp;sourceID=46","707.2")</f>
        <v>707.2</v>
      </c>
      <c r="L482" s="4" t="str">
        <f>HYPERLINK("http://141.218.60.56/~jnz1568/getInfo.php?workbook=10_02.xlsx&amp;sheet=A0&amp;row=482&amp;col=12&amp;number=&amp;sourceID=47","")</f>
        <v/>
      </c>
    </row>
    <row r="483" spans="1:12">
      <c r="A483" s="3">
        <v>10</v>
      </c>
      <c r="B483" s="3">
        <v>2</v>
      </c>
      <c r="C483" s="3">
        <v>35</v>
      </c>
      <c r="D483" s="3">
        <v>18</v>
      </c>
      <c r="E483" s="3">
        <f>((1/(INDEX(E0!J$4:J$52,C483,1)-INDEX(E0!J$4:J$52,D483,1))))*100000000</f>
        <v>0</v>
      </c>
      <c r="F483" s="4" t="str">
        <f>HYPERLINK("http://141.218.60.56/~jnz1568/getInfo.php?workbook=10_02.xlsx&amp;sheet=A0&amp;row=483&amp;col=6&amp;number=&amp;sourceID=27","")</f>
        <v/>
      </c>
      <c r="G483" s="4" t="str">
        <f>HYPERLINK("http://141.218.60.56/~jnz1568/getInfo.php?workbook=10_02.xlsx&amp;sheet=A0&amp;row=483&amp;col=7&amp;number=4393000000&amp;sourceID=32","4393000000")</f>
        <v>4393000000</v>
      </c>
      <c r="H483" s="4" t="str">
        <f>HYPERLINK("http://141.218.60.56/~jnz1568/getInfo.php?workbook=10_02.xlsx&amp;sheet=A0&amp;row=483&amp;col=8&amp;number=&amp;sourceID=32","")</f>
        <v/>
      </c>
      <c r="I483" s="4" t="str">
        <f>HYPERLINK("http://141.218.60.56/~jnz1568/getInfo.php?workbook=10_02.xlsx&amp;sheet=A0&amp;row=483&amp;col=9&amp;number=&amp;sourceID=32","")</f>
        <v/>
      </c>
      <c r="J483" s="4" t="str">
        <f>HYPERLINK("http://141.218.60.56/~jnz1568/getInfo.php?workbook=10_02.xlsx&amp;sheet=A0&amp;row=483&amp;col=10&amp;number=0.6703&amp;sourceID=32","0.6703")</f>
        <v>0.6703</v>
      </c>
      <c r="K483" s="4" t="str">
        <f>HYPERLINK("http://141.218.60.56/~jnz1568/getInfo.php?workbook=10_02.xlsx&amp;sheet=A0&amp;row=483&amp;col=11&amp;number=4367800000&amp;sourceID=46","4367800000")</f>
        <v>4367800000</v>
      </c>
      <c r="L483" s="4" t="str">
        <f>HYPERLINK("http://141.218.60.56/~jnz1568/getInfo.php?workbook=10_02.xlsx&amp;sheet=A0&amp;row=483&amp;col=12&amp;number=&amp;sourceID=47","")</f>
        <v/>
      </c>
    </row>
    <row r="484" spans="1:12">
      <c r="A484" s="3">
        <v>10</v>
      </c>
      <c r="B484" s="3">
        <v>2</v>
      </c>
      <c r="C484" s="3">
        <v>35</v>
      </c>
      <c r="D484" s="3">
        <v>19</v>
      </c>
      <c r="E484" s="3">
        <f>((1/(INDEX(E0!J$4:J$52,C484,1)-INDEX(E0!J$4:J$52,D484,1))))*100000000</f>
        <v>0</v>
      </c>
      <c r="F484" s="4" t="str">
        <f>HYPERLINK("http://141.218.60.56/~jnz1568/getInfo.php?workbook=10_02.xlsx&amp;sheet=A0&amp;row=484&amp;col=6&amp;number=&amp;sourceID=27","")</f>
        <v/>
      </c>
      <c r="G484" s="4" t="str">
        <f>HYPERLINK("http://141.218.60.56/~jnz1568/getInfo.php?workbook=10_02.xlsx&amp;sheet=A0&amp;row=484&amp;col=7&amp;number=&amp;sourceID=32","")</f>
        <v/>
      </c>
      <c r="H484" s="4" t="str">
        <f>HYPERLINK("http://141.218.60.56/~jnz1568/getInfo.php?workbook=10_02.xlsx&amp;sheet=A0&amp;row=484&amp;col=8&amp;number=&amp;sourceID=32","")</f>
        <v/>
      </c>
      <c r="I484" s="4" t="str">
        <f>HYPERLINK("http://141.218.60.56/~jnz1568/getInfo.php?workbook=10_02.xlsx&amp;sheet=A0&amp;row=484&amp;col=9&amp;number=0.004698&amp;sourceID=32","0.004698")</f>
        <v>0.004698</v>
      </c>
      <c r="J484" s="4" t="str">
        <f>HYPERLINK("http://141.218.60.56/~jnz1568/getInfo.php?workbook=10_02.xlsx&amp;sheet=A0&amp;row=484&amp;col=10&amp;number=&amp;sourceID=32","")</f>
        <v/>
      </c>
      <c r="K484" s="4" t="str">
        <f>HYPERLINK("http://141.218.60.56/~jnz1568/getInfo.php?workbook=10_02.xlsx&amp;sheet=A0&amp;row=484&amp;col=11&amp;number=&amp;sourceID=46","")</f>
        <v/>
      </c>
      <c r="L484" s="4" t="str">
        <f>HYPERLINK("http://141.218.60.56/~jnz1568/getInfo.php?workbook=10_02.xlsx&amp;sheet=A0&amp;row=484&amp;col=12&amp;number=&amp;sourceID=47","")</f>
        <v/>
      </c>
    </row>
    <row r="485" spans="1:12">
      <c r="A485" s="3">
        <v>10</v>
      </c>
      <c r="B485" s="3">
        <v>2</v>
      </c>
      <c r="C485" s="3">
        <v>35</v>
      </c>
      <c r="D485" s="3">
        <v>20</v>
      </c>
      <c r="E485" s="3">
        <f>((1/(INDEX(E0!J$4:J$52,C485,1)-INDEX(E0!J$4:J$52,D485,1))))*100000000</f>
        <v>0</v>
      </c>
      <c r="F485" s="4" t="str">
        <f>HYPERLINK("http://141.218.60.56/~jnz1568/getInfo.php?workbook=10_02.xlsx&amp;sheet=A0&amp;row=485&amp;col=6&amp;number=&amp;sourceID=27","")</f>
        <v/>
      </c>
      <c r="G485" s="4" t="str">
        <f>HYPERLINK("http://141.218.60.56/~jnz1568/getInfo.php?workbook=10_02.xlsx&amp;sheet=A0&amp;row=485&amp;col=7&amp;number=&amp;sourceID=32","")</f>
        <v/>
      </c>
      <c r="H485" s="4" t="str">
        <f>HYPERLINK("http://141.218.60.56/~jnz1568/getInfo.php?workbook=10_02.xlsx&amp;sheet=A0&amp;row=485&amp;col=8&amp;number=61910&amp;sourceID=32","61910")</f>
        <v>61910</v>
      </c>
      <c r="I485" s="4" t="str">
        <f>HYPERLINK("http://141.218.60.56/~jnz1568/getInfo.php?workbook=10_02.xlsx&amp;sheet=A0&amp;row=485&amp;col=9&amp;number=0.002336&amp;sourceID=32","0.002336")</f>
        <v>0.002336</v>
      </c>
      <c r="J485" s="4" t="str">
        <f>HYPERLINK("http://141.218.60.56/~jnz1568/getInfo.php?workbook=10_02.xlsx&amp;sheet=A0&amp;row=485&amp;col=10&amp;number=&amp;sourceID=32","")</f>
        <v/>
      </c>
      <c r="K485" s="4" t="str">
        <f>HYPERLINK("http://141.218.60.56/~jnz1568/getInfo.php?workbook=10_02.xlsx&amp;sheet=A0&amp;row=485&amp;col=11&amp;number=61922&amp;sourceID=46","61922")</f>
        <v>61922</v>
      </c>
      <c r="L485" s="4" t="str">
        <f>HYPERLINK("http://141.218.60.56/~jnz1568/getInfo.php?workbook=10_02.xlsx&amp;sheet=A0&amp;row=485&amp;col=12&amp;number=&amp;sourceID=47","")</f>
        <v/>
      </c>
    </row>
    <row r="486" spans="1:12">
      <c r="A486" s="3">
        <v>10</v>
      </c>
      <c r="B486" s="3">
        <v>2</v>
      </c>
      <c r="C486" s="3">
        <v>35</v>
      </c>
      <c r="D486" s="3">
        <v>21</v>
      </c>
      <c r="E486" s="3">
        <f>((1/(INDEX(E0!J$4:J$52,C486,1)-INDEX(E0!J$4:J$52,D486,1))))*100000000</f>
        <v>0</v>
      </c>
      <c r="F486" s="4" t="str">
        <f>HYPERLINK("http://141.218.60.56/~jnz1568/getInfo.php?workbook=10_02.xlsx&amp;sheet=A0&amp;row=486&amp;col=6&amp;number=&amp;sourceID=27","")</f>
        <v/>
      </c>
      <c r="G486" s="4" t="str">
        <f>HYPERLINK("http://141.218.60.56/~jnz1568/getInfo.php?workbook=10_02.xlsx&amp;sheet=A0&amp;row=486&amp;col=7&amp;number=3416000&amp;sourceID=32","3416000")</f>
        <v>3416000</v>
      </c>
      <c r="H486" s="4" t="str">
        <f>HYPERLINK("http://141.218.60.56/~jnz1568/getInfo.php?workbook=10_02.xlsx&amp;sheet=A0&amp;row=486&amp;col=8&amp;number=&amp;sourceID=32","")</f>
        <v/>
      </c>
      <c r="I486" s="4" t="str">
        <f>HYPERLINK("http://141.218.60.56/~jnz1568/getInfo.php?workbook=10_02.xlsx&amp;sheet=A0&amp;row=486&amp;col=9&amp;number=&amp;sourceID=32","")</f>
        <v/>
      </c>
      <c r="J486" s="4" t="str">
        <f>HYPERLINK("http://141.218.60.56/~jnz1568/getInfo.php?workbook=10_02.xlsx&amp;sheet=A0&amp;row=486&amp;col=10&amp;number=&amp;sourceID=32","")</f>
        <v/>
      </c>
      <c r="K486" s="4" t="str">
        <f>HYPERLINK("http://141.218.60.56/~jnz1568/getInfo.php?workbook=10_02.xlsx&amp;sheet=A0&amp;row=486&amp;col=11&amp;number=2329100&amp;sourceID=46","2329100")</f>
        <v>2329100</v>
      </c>
      <c r="L486" s="4" t="str">
        <f>HYPERLINK("http://141.218.60.56/~jnz1568/getInfo.php?workbook=10_02.xlsx&amp;sheet=A0&amp;row=486&amp;col=12&amp;number=&amp;sourceID=47","")</f>
        <v/>
      </c>
    </row>
    <row r="487" spans="1:12">
      <c r="A487" s="3">
        <v>10</v>
      </c>
      <c r="B487" s="3">
        <v>2</v>
      </c>
      <c r="C487" s="3">
        <v>35</v>
      </c>
      <c r="D487" s="3">
        <v>22</v>
      </c>
      <c r="E487" s="3">
        <f>((1/(INDEX(E0!J$4:J$52,C487,1)-INDEX(E0!J$4:J$52,D487,1))))*100000000</f>
        <v>0</v>
      </c>
      <c r="F487" s="4" t="str">
        <f>HYPERLINK("http://141.218.60.56/~jnz1568/getInfo.php?workbook=10_02.xlsx&amp;sheet=A0&amp;row=487&amp;col=6&amp;number=&amp;sourceID=27","")</f>
        <v/>
      </c>
      <c r="G487" s="4" t="str">
        <f>HYPERLINK("http://141.218.60.56/~jnz1568/getInfo.php?workbook=10_02.xlsx&amp;sheet=A0&amp;row=487&amp;col=7&amp;number=&amp;sourceID=32","")</f>
        <v/>
      </c>
      <c r="H487" s="4" t="str">
        <f>HYPERLINK("http://141.218.60.56/~jnz1568/getInfo.php?workbook=10_02.xlsx&amp;sheet=A0&amp;row=487&amp;col=8&amp;number=186200&amp;sourceID=32","186200")</f>
        <v>186200</v>
      </c>
      <c r="I487" s="4" t="str">
        <f>HYPERLINK("http://141.218.60.56/~jnz1568/getInfo.php?workbook=10_02.xlsx&amp;sheet=A0&amp;row=487&amp;col=9&amp;number=0.08258&amp;sourceID=32","0.08258")</f>
        <v>0.08258</v>
      </c>
      <c r="J487" s="4" t="str">
        <f>HYPERLINK("http://141.218.60.56/~jnz1568/getInfo.php?workbook=10_02.xlsx&amp;sheet=A0&amp;row=487&amp;col=10&amp;number=&amp;sourceID=32","")</f>
        <v/>
      </c>
      <c r="K487" s="4" t="str">
        <f>HYPERLINK("http://141.218.60.56/~jnz1568/getInfo.php?workbook=10_02.xlsx&amp;sheet=A0&amp;row=487&amp;col=11&amp;number=185900&amp;sourceID=46","185900")</f>
        <v>185900</v>
      </c>
      <c r="L487" s="4" t="str">
        <f>HYPERLINK("http://141.218.60.56/~jnz1568/getInfo.php?workbook=10_02.xlsx&amp;sheet=A0&amp;row=487&amp;col=12&amp;number=&amp;sourceID=47","")</f>
        <v/>
      </c>
    </row>
    <row r="488" spans="1:12">
      <c r="A488" s="3">
        <v>10</v>
      </c>
      <c r="B488" s="3">
        <v>2</v>
      </c>
      <c r="C488" s="3">
        <v>35</v>
      </c>
      <c r="D488" s="3">
        <v>23</v>
      </c>
      <c r="E488" s="3">
        <f>((1/(INDEX(E0!J$4:J$52,C488,1)-INDEX(E0!J$4:J$52,D488,1))))*100000000</f>
        <v>0</v>
      </c>
      <c r="F488" s="4" t="str">
        <f>HYPERLINK("http://141.218.60.56/~jnz1568/getInfo.php?workbook=10_02.xlsx&amp;sheet=A0&amp;row=488&amp;col=6&amp;number=&amp;sourceID=27","")</f>
        <v/>
      </c>
      <c r="G488" s="4" t="str">
        <f>HYPERLINK("http://141.218.60.56/~jnz1568/getInfo.php?workbook=10_02.xlsx&amp;sheet=A0&amp;row=488&amp;col=7&amp;number=367000000&amp;sourceID=32","367000000")</f>
        <v>367000000</v>
      </c>
      <c r="H488" s="4" t="str">
        <f>HYPERLINK("http://141.218.60.56/~jnz1568/getInfo.php?workbook=10_02.xlsx&amp;sheet=A0&amp;row=488&amp;col=8&amp;number=&amp;sourceID=32","")</f>
        <v/>
      </c>
      <c r="I488" s="4" t="str">
        <f>HYPERLINK("http://141.218.60.56/~jnz1568/getInfo.php?workbook=10_02.xlsx&amp;sheet=A0&amp;row=488&amp;col=9&amp;number=&amp;sourceID=32","")</f>
        <v/>
      </c>
      <c r="J488" s="4" t="str">
        <f>HYPERLINK("http://141.218.60.56/~jnz1568/getInfo.php?workbook=10_02.xlsx&amp;sheet=A0&amp;row=488&amp;col=10&amp;number=0.008782&amp;sourceID=32","0.008782")</f>
        <v>0.008782</v>
      </c>
      <c r="K488" s="4" t="str">
        <f>HYPERLINK("http://141.218.60.56/~jnz1568/getInfo.php?workbook=10_02.xlsx&amp;sheet=A0&amp;row=488&amp;col=11&amp;number=368180000&amp;sourceID=46","368180000")</f>
        <v>368180000</v>
      </c>
      <c r="L488" s="4" t="str">
        <f>HYPERLINK("http://141.218.60.56/~jnz1568/getInfo.php?workbook=10_02.xlsx&amp;sheet=A0&amp;row=488&amp;col=12&amp;number=&amp;sourceID=47","")</f>
        <v/>
      </c>
    </row>
    <row r="489" spans="1:12">
      <c r="A489" s="3">
        <v>10</v>
      </c>
      <c r="B489" s="3">
        <v>2</v>
      </c>
      <c r="C489" s="3">
        <v>35</v>
      </c>
      <c r="D489" s="3">
        <v>24</v>
      </c>
      <c r="E489" s="3">
        <f>((1/(INDEX(E0!J$4:J$52,C489,1)-INDEX(E0!J$4:J$52,D489,1))))*100000000</f>
        <v>0</v>
      </c>
      <c r="F489" s="4" t="str">
        <f>HYPERLINK("http://141.218.60.56/~jnz1568/getInfo.php?workbook=10_02.xlsx&amp;sheet=A0&amp;row=489&amp;col=6&amp;number=&amp;sourceID=27","")</f>
        <v/>
      </c>
      <c r="G489" s="4" t="str">
        <f>HYPERLINK("http://141.218.60.56/~jnz1568/getInfo.php?workbook=10_02.xlsx&amp;sheet=A0&amp;row=489&amp;col=7&amp;number=1080000000&amp;sourceID=32","1080000000")</f>
        <v>1080000000</v>
      </c>
      <c r="H489" s="4" t="str">
        <f>HYPERLINK("http://141.218.60.56/~jnz1568/getInfo.php?workbook=10_02.xlsx&amp;sheet=A0&amp;row=489&amp;col=8&amp;number=&amp;sourceID=32","")</f>
        <v/>
      </c>
      <c r="I489" s="4" t="str">
        <f>HYPERLINK("http://141.218.60.56/~jnz1568/getInfo.php?workbook=10_02.xlsx&amp;sheet=A0&amp;row=489&amp;col=9&amp;number=&amp;sourceID=32","")</f>
        <v/>
      </c>
      <c r="J489" s="4" t="str">
        <f>HYPERLINK("http://141.218.60.56/~jnz1568/getInfo.php?workbook=10_02.xlsx&amp;sheet=A0&amp;row=489&amp;col=10&amp;number=0.1522&amp;sourceID=32","0.1522")</f>
        <v>0.1522</v>
      </c>
      <c r="K489" s="4" t="str">
        <f>HYPERLINK("http://141.218.60.56/~jnz1568/getInfo.php?workbook=10_02.xlsx&amp;sheet=A0&amp;row=489&amp;col=11&amp;number=1090400000&amp;sourceID=46","1090400000")</f>
        <v>1090400000</v>
      </c>
      <c r="L489" s="4" t="str">
        <f>HYPERLINK("http://141.218.60.56/~jnz1568/getInfo.php?workbook=10_02.xlsx&amp;sheet=A0&amp;row=489&amp;col=12&amp;number=&amp;sourceID=47","")</f>
        <v/>
      </c>
    </row>
    <row r="490" spans="1:12">
      <c r="A490" s="3">
        <v>10</v>
      </c>
      <c r="B490" s="3">
        <v>2</v>
      </c>
      <c r="C490" s="3">
        <v>35</v>
      </c>
      <c r="D490" s="3">
        <v>25</v>
      </c>
      <c r="E490" s="3">
        <f>((1/(INDEX(E0!J$4:J$52,C490,1)-INDEX(E0!J$4:J$52,D490,1))))*100000000</f>
        <v>0</v>
      </c>
      <c r="F490" s="4" t="str">
        <f>HYPERLINK("http://141.218.60.56/~jnz1568/getInfo.php?workbook=10_02.xlsx&amp;sheet=A0&amp;row=490&amp;col=6&amp;number=&amp;sourceID=27","")</f>
        <v/>
      </c>
      <c r="G490" s="4" t="str">
        <f>HYPERLINK("http://141.218.60.56/~jnz1568/getInfo.php?workbook=10_02.xlsx&amp;sheet=A0&amp;row=490&amp;col=7&amp;number=&amp;sourceID=32","")</f>
        <v/>
      </c>
      <c r="H490" s="4" t="str">
        <f>HYPERLINK("http://141.218.60.56/~jnz1568/getInfo.php?workbook=10_02.xlsx&amp;sheet=A0&amp;row=490&amp;col=8&amp;number=&amp;sourceID=32","")</f>
        <v/>
      </c>
      <c r="I490" s="4" t="str">
        <f>HYPERLINK("http://141.218.60.56/~jnz1568/getInfo.php?workbook=10_02.xlsx&amp;sheet=A0&amp;row=490&amp;col=9&amp;number=&amp;sourceID=32","")</f>
        <v/>
      </c>
      <c r="J490" s="4" t="str">
        <f>HYPERLINK("http://141.218.60.56/~jnz1568/getInfo.php?workbook=10_02.xlsx&amp;sheet=A0&amp;row=490&amp;col=10&amp;number=0.02434&amp;sourceID=32","0.02434")</f>
        <v>0.02434</v>
      </c>
      <c r="K490" s="4" t="str">
        <f>HYPERLINK("http://141.218.60.56/~jnz1568/getInfo.php?workbook=10_02.xlsx&amp;sheet=A0&amp;row=490&amp;col=11&amp;number=2.152&amp;sourceID=46","2.152")</f>
        <v>2.152</v>
      </c>
      <c r="L490" s="4" t="str">
        <f>HYPERLINK("http://141.218.60.56/~jnz1568/getInfo.php?workbook=10_02.xlsx&amp;sheet=A0&amp;row=490&amp;col=12&amp;number=&amp;sourceID=47","")</f>
        <v/>
      </c>
    </row>
    <row r="491" spans="1:12">
      <c r="A491" s="3">
        <v>10</v>
      </c>
      <c r="B491" s="3">
        <v>2</v>
      </c>
      <c r="C491" s="3">
        <v>35</v>
      </c>
      <c r="D491" s="3">
        <v>26</v>
      </c>
      <c r="E491" s="3">
        <f>((1/(INDEX(E0!J$4:J$52,C491,1)-INDEX(E0!J$4:J$52,D491,1))))*100000000</f>
        <v>0</v>
      </c>
      <c r="F491" s="4" t="str">
        <f>HYPERLINK("http://141.218.60.56/~jnz1568/getInfo.php?workbook=10_02.xlsx&amp;sheet=A0&amp;row=491&amp;col=6&amp;number=&amp;sourceID=27","")</f>
        <v/>
      </c>
      <c r="G491" s="4" t="str">
        <f>HYPERLINK("http://141.218.60.56/~jnz1568/getInfo.php?workbook=10_02.xlsx&amp;sheet=A0&amp;row=491&amp;col=7&amp;number=&amp;sourceID=32","")</f>
        <v/>
      </c>
      <c r="H491" s="4" t="str">
        <f>HYPERLINK("http://141.218.60.56/~jnz1568/getInfo.php?workbook=10_02.xlsx&amp;sheet=A0&amp;row=491&amp;col=8&amp;number=11020&amp;sourceID=32","11020")</f>
        <v>11020</v>
      </c>
      <c r="I491" s="4" t="str">
        <f>HYPERLINK("http://141.218.60.56/~jnz1568/getInfo.php?workbook=10_02.xlsx&amp;sheet=A0&amp;row=491&amp;col=9&amp;number=&amp;sourceID=32","")</f>
        <v/>
      </c>
      <c r="J491" s="4" t="str">
        <f>HYPERLINK("http://141.218.60.56/~jnz1568/getInfo.php?workbook=10_02.xlsx&amp;sheet=A0&amp;row=491&amp;col=10&amp;number=&amp;sourceID=32","")</f>
        <v/>
      </c>
      <c r="K491" s="4" t="str">
        <f>HYPERLINK("http://141.218.60.56/~jnz1568/getInfo.php?workbook=10_02.xlsx&amp;sheet=A0&amp;row=491&amp;col=11&amp;number=11175&amp;sourceID=46","11175")</f>
        <v>11175</v>
      </c>
      <c r="L491" s="4" t="str">
        <f>HYPERLINK("http://141.218.60.56/~jnz1568/getInfo.php?workbook=10_02.xlsx&amp;sheet=A0&amp;row=491&amp;col=12&amp;number=&amp;sourceID=47","")</f>
        <v/>
      </c>
    </row>
    <row r="492" spans="1:12">
      <c r="A492" s="3">
        <v>10</v>
      </c>
      <c r="B492" s="3">
        <v>2</v>
      </c>
      <c r="C492" s="3">
        <v>35</v>
      </c>
      <c r="D492" s="3">
        <v>27</v>
      </c>
      <c r="E492" s="3">
        <f>((1/(INDEX(E0!J$4:J$52,C492,1)-INDEX(E0!J$4:J$52,D492,1))))*100000000</f>
        <v>0</v>
      </c>
      <c r="F492" s="4" t="str">
        <f>HYPERLINK("http://141.218.60.56/~jnz1568/getInfo.php?workbook=10_02.xlsx&amp;sheet=A0&amp;row=492&amp;col=6&amp;number=&amp;sourceID=27","")</f>
        <v/>
      </c>
      <c r="G492" s="4" t="str">
        <f>HYPERLINK("http://141.218.60.56/~jnz1568/getInfo.php?workbook=10_02.xlsx&amp;sheet=A0&amp;row=492&amp;col=7&amp;number=&amp;sourceID=32","")</f>
        <v/>
      </c>
      <c r="H492" s="4" t="str">
        <f>HYPERLINK("http://141.218.60.56/~jnz1568/getInfo.php?workbook=10_02.xlsx&amp;sheet=A0&amp;row=492&amp;col=8&amp;number=8873&amp;sourceID=32","8873")</f>
        <v>8873</v>
      </c>
      <c r="I492" s="4" t="str">
        <f>HYPERLINK("http://141.218.60.56/~jnz1568/getInfo.php?workbook=10_02.xlsx&amp;sheet=A0&amp;row=492&amp;col=9&amp;number=4.944e-07&amp;sourceID=32","4.944e-07")</f>
        <v>4.944e-07</v>
      </c>
      <c r="J492" s="4" t="str">
        <f>HYPERLINK("http://141.218.60.56/~jnz1568/getInfo.php?workbook=10_02.xlsx&amp;sheet=A0&amp;row=492&amp;col=10&amp;number=&amp;sourceID=32","")</f>
        <v/>
      </c>
      <c r="K492" s="4" t="str">
        <f>HYPERLINK("http://141.218.60.56/~jnz1568/getInfo.php?workbook=10_02.xlsx&amp;sheet=A0&amp;row=492&amp;col=11&amp;number=8888.6&amp;sourceID=46","8888.6")</f>
        <v>8888.6</v>
      </c>
      <c r="L492" s="4" t="str">
        <f>HYPERLINK("http://141.218.60.56/~jnz1568/getInfo.php?workbook=10_02.xlsx&amp;sheet=A0&amp;row=492&amp;col=12&amp;number=&amp;sourceID=47","")</f>
        <v/>
      </c>
    </row>
    <row r="493" spans="1:12">
      <c r="A493" s="3">
        <v>10</v>
      </c>
      <c r="B493" s="3">
        <v>2</v>
      </c>
      <c r="C493" s="3">
        <v>35</v>
      </c>
      <c r="D493" s="3">
        <v>29</v>
      </c>
      <c r="E493" s="3">
        <f>((1/(INDEX(E0!J$4:J$52,C493,1)-INDEX(E0!J$4:J$52,D493,1))))*100000000</f>
        <v>0</v>
      </c>
      <c r="F493" s="4" t="str">
        <f>HYPERLINK("http://141.218.60.56/~jnz1568/getInfo.php?workbook=10_02.xlsx&amp;sheet=A0&amp;row=493&amp;col=6&amp;number=&amp;sourceID=27","")</f>
        <v/>
      </c>
      <c r="G493" s="4" t="str">
        <f>HYPERLINK("http://141.218.60.56/~jnz1568/getInfo.php?workbook=10_02.xlsx&amp;sheet=A0&amp;row=493&amp;col=7&amp;number=20810000&amp;sourceID=32","20810000")</f>
        <v>20810000</v>
      </c>
      <c r="H493" s="4" t="str">
        <f>HYPERLINK("http://141.218.60.56/~jnz1568/getInfo.php?workbook=10_02.xlsx&amp;sheet=A0&amp;row=493&amp;col=8&amp;number=&amp;sourceID=32","")</f>
        <v/>
      </c>
      <c r="I493" s="4" t="str">
        <f>HYPERLINK("http://141.218.60.56/~jnz1568/getInfo.php?workbook=10_02.xlsx&amp;sheet=A0&amp;row=493&amp;col=9&amp;number=&amp;sourceID=32","")</f>
        <v/>
      </c>
      <c r="J493" s="4" t="str">
        <f>HYPERLINK("http://141.218.60.56/~jnz1568/getInfo.php?workbook=10_02.xlsx&amp;sheet=A0&amp;row=493&amp;col=10&amp;number=0.2486&amp;sourceID=32","0.2486")</f>
        <v>0.2486</v>
      </c>
      <c r="K493" s="4" t="str">
        <f>HYPERLINK("http://141.218.60.56/~jnz1568/getInfo.php?workbook=10_02.xlsx&amp;sheet=A0&amp;row=493&amp;col=11&amp;number=12988000&amp;sourceID=46","12988000")</f>
        <v>12988000</v>
      </c>
      <c r="L493" s="4" t="str">
        <f>HYPERLINK("http://141.218.60.56/~jnz1568/getInfo.php?workbook=10_02.xlsx&amp;sheet=A0&amp;row=493&amp;col=12&amp;number=&amp;sourceID=47","")</f>
        <v/>
      </c>
    </row>
    <row r="494" spans="1:12">
      <c r="A494" s="3">
        <v>10</v>
      </c>
      <c r="B494" s="3">
        <v>2</v>
      </c>
      <c r="C494" s="3">
        <v>35</v>
      </c>
      <c r="D494" s="3">
        <v>30</v>
      </c>
      <c r="E494" s="3">
        <f>((1/(INDEX(E0!J$4:J$52,C494,1)-INDEX(E0!J$4:J$52,D494,1))))*100000000</f>
        <v>0</v>
      </c>
      <c r="F494" s="4" t="str">
        <f>HYPERLINK("http://141.218.60.56/~jnz1568/getInfo.php?workbook=10_02.xlsx&amp;sheet=A0&amp;row=494&amp;col=6&amp;number=&amp;sourceID=27","")</f>
        <v/>
      </c>
      <c r="G494" s="4" t="str">
        <f>HYPERLINK("http://141.218.60.56/~jnz1568/getInfo.php?workbook=10_02.xlsx&amp;sheet=A0&amp;row=494&amp;col=7&amp;number=&amp;sourceID=32","")</f>
        <v/>
      </c>
      <c r="H494" s="4" t="str">
        <f>HYPERLINK("http://141.218.60.56/~jnz1568/getInfo.php?workbook=10_02.xlsx&amp;sheet=A0&amp;row=494&amp;col=8&amp;number=6737&amp;sourceID=32","6737")</f>
        <v>6737</v>
      </c>
      <c r="I494" s="4" t="str">
        <f>HYPERLINK("http://141.218.60.56/~jnz1568/getInfo.php?workbook=10_02.xlsx&amp;sheet=A0&amp;row=494&amp;col=9&amp;number=&amp;sourceID=32","")</f>
        <v/>
      </c>
      <c r="J494" s="4" t="str">
        <f>HYPERLINK("http://141.218.60.56/~jnz1568/getInfo.php?workbook=10_02.xlsx&amp;sheet=A0&amp;row=494&amp;col=10&amp;number=&amp;sourceID=32","")</f>
        <v/>
      </c>
      <c r="K494" s="4" t="str">
        <f>HYPERLINK("http://141.218.60.56/~jnz1568/getInfo.php?workbook=10_02.xlsx&amp;sheet=A0&amp;row=494&amp;col=11&amp;number=6609.3&amp;sourceID=46","6609.3")</f>
        <v>6609.3</v>
      </c>
      <c r="L494" s="4" t="str">
        <f>HYPERLINK("http://141.218.60.56/~jnz1568/getInfo.php?workbook=10_02.xlsx&amp;sheet=A0&amp;row=494&amp;col=12&amp;number=&amp;sourceID=47","")</f>
        <v/>
      </c>
    </row>
    <row r="495" spans="1:12">
      <c r="A495" s="3">
        <v>10</v>
      </c>
      <c r="B495" s="3">
        <v>2</v>
      </c>
      <c r="C495" s="3">
        <v>35</v>
      </c>
      <c r="D495" s="3">
        <v>31</v>
      </c>
      <c r="E495" s="3">
        <f>((1/(INDEX(E0!J$4:J$52,C495,1)-INDEX(E0!J$4:J$52,D495,1))))*100000000</f>
        <v>0</v>
      </c>
      <c r="F495" s="4" t="str">
        <f>HYPERLINK("http://141.218.60.56/~jnz1568/getInfo.php?workbook=10_02.xlsx&amp;sheet=A0&amp;row=495&amp;col=6&amp;number=&amp;sourceID=27","")</f>
        <v/>
      </c>
      <c r="G495" s="4" t="str">
        <f>HYPERLINK("http://141.218.60.56/~jnz1568/getInfo.php?workbook=10_02.xlsx&amp;sheet=A0&amp;row=495&amp;col=7&amp;number=&amp;sourceID=32","")</f>
        <v/>
      </c>
      <c r="H495" s="4" t="str">
        <f>HYPERLINK("http://141.218.60.56/~jnz1568/getInfo.php?workbook=10_02.xlsx&amp;sheet=A0&amp;row=495&amp;col=8&amp;number=373&amp;sourceID=32","373")</f>
        <v>373</v>
      </c>
      <c r="I495" s="4" t="str">
        <f>HYPERLINK("http://141.218.60.56/~jnz1568/getInfo.php?workbook=10_02.xlsx&amp;sheet=A0&amp;row=495&amp;col=9&amp;number=0.05757&amp;sourceID=32","0.05757")</f>
        <v>0.05757</v>
      </c>
      <c r="J495" s="4" t="str">
        <f>HYPERLINK("http://141.218.60.56/~jnz1568/getInfo.php?workbook=10_02.xlsx&amp;sheet=A0&amp;row=495&amp;col=10&amp;number=&amp;sourceID=32","")</f>
        <v/>
      </c>
      <c r="K495" s="4" t="str">
        <f>HYPERLINK("http://141.218.60.56/~jnz1568/getInfo.php?workbook=10_02.xlsx&amp;sheet=A0&amp;row=495&amp;col=11&amp;number=243.66&amp;sourceID=46","243.66")</f>
        <v>243.66</v>
      </c>
      <c r="L495" s="4" t="str">
        <f>HYPERLINK("http://141.218.60.56/~jnz1568/getInfo.php?workbook=10_02.xlsx&amp;sheet=A0&amp;row=495&amp;col=12&amp;number=&amp;sourceID=47","")</f>
        <v/>
      </c>
    </row>
    <row r="496" spans="1:12">
      <c r="A496" s="3">
        <v>10</v>
      </c>
      <c r="B496" s="3">
        <v>2</v>
      </c>
      <c r="C496" s="3">
        <v>35</v>
      </c>
      <c r="D496" s="3">
        <v>32</v>
      </c>
      <c r="E496" s="3">
        <f>((1/(INDEX(E0!J$4:J$52,C496,1)-INDEX(E0!J$4:J$52,D496,1))))*100000000</f>
        <v>0</v>
      </c>
      <c r="F496" s="4" t="str">
        <f>HYPERLINK("http://141.218.60.56/~jnz1568/getInfo.php?workbook=10_02.xlsx&amp;sheet=A0&amp;row=496&amp;col=6&amp;number=&amp;sourceID=27","")</f>
        <v/>
      </c>
      <c r="G496" s="4" t="str">
        <f>HYPERLINK("http://141.218.60.56/~jnz1568/getInfo.php?workbook=10_02.xlsx&amp;sheet=A0&amp;row=496&amp;col=7&amp;number=979200&amp;sourceID=32","979200")</f>
        <v>979200</v>
      </c>
      <c r="H496" s="4" t="str">
        <f>HYPERLINK("http://141.218.60.56/~jnz1568/getInfo.php?workbook=10_02.xlsx&amp;sheet=A0&amp;row=496&amp;col=8&amp;number=&amp;sourceID=32","")</f>
        <v/>
      </c>
      <c r="I496" s="4" t="str">
        <f>HYPERLINK("http://141.218.60.56/~jnz1568/getInfo.php?workbook=10_02.xlsx&amp;sheet=A0&amp;row=496&amp;col=9&amp;number=&amp;sourceID=32","")</f>
        <v/>
      </c>
      <c r="J496" s="4" t="str">
        <f>HYPERLINK("http://141.218.60.56/~jnz1568/getInfo.php?workbook=10_02.xlsx&amp;sheet=A0&amp;row=496&amp;col=10&amp;number=6.651e-08&amp;sourceID=32","6.651e-08")</f>
        <v>6.651e-08</v>
      </c>
      <c r="K496" s="4" t="str">
        <f>HYPERLINK("http://141.218.60.56/~jnz1568/getInfo.php?workbook=10_02.xlsx&amp;sheet=A0&amp;row=496&amp;col=11&amp;number=934670&amp;sourceID=46","934670")</f>
        <v>934670</v>
      </c>
      <c r="L496" s="4" t="str">
        <f>HYPERLINK("http://141.218.60.56/~jnz1568/getInfo.php?workbook=10_02.xlsx&amp;sheet=A0&amp;row=496&amp;col=12&amp;number=&amp;sourceID=47","")</f>
        <v/>
      </c>
    </row>
    <row r="497" spans="1:12">
      <c r="A497" s="3">
        <v>10</v>
      </c>
      <c r="B497" s="3">
        <v>2</v>
      </c>
      <c r="C497" s="3">
        <v>36</v>
      </c>
      <c r="D497" s="3">
        <v>1</v>
      </c>
      <c r="E497" s="3">
        <f>((1/(INDEX(E0!J$4:J$52,C497,1)-INDEX(E0!J$4:J$52,D497,1))))*100000000</f>
        <v>0</v>
      </c>
      <c r="F497" s="4" t="str">
        <f>HYPERLINK("http://141.218.60.56/~jnz1568/getInfo.php?workbook=10_02.xlsx&amp;sheet=A0&amp;row=497&amp;col=6&amp;number=&amp;sourceID=27","")</f>
        <v/>
      </c>
      <c r="G497" s="4" t="str">
        <f>HYPERLINK("http://141.218.60.56/~jnz1568/getInfo.php?workbook=10_02.xlsx&amp;sheet=A0&amp;row=497&amp;col=7&amp;number=&amp;sourceID=32","")</f>
        <v/>
      </c>
      <c r="H497" s="4" t="str">
        <f>HYPERLINK("http://141.218.60.56/~jnz1568/getInfo.php?workbook=10_02.xlsx&amp;sheet=A0&amp;row=497&amp;col=8&amp;number=&amp;sourceID=32","")</f>
        <v/>
      </c>
      <c r="I497" s="4" t="str">
        <f>HYPERLINK("http://141.218.60.56/~jnz1568/getInfo.php?workbook=10_02.xlsx&amp;sheet=A0&amp;row=497&amp;col=9&amp;number=&amp;sourceID=32","")</f>
        <v/>
      </c>
      <c r="J497" s="4" t="str">
        <f>HYPERLINK("http://141.218.60.56/~jnz1568/getInfo.php?workbook=10_02.xlsx&amp;sheet=A0&amp;row=497&amp;col=10&amp;number=195800&amp;sourceID=32","195800")</f>
        <v>195800</v>
      </c>
      <c r="K497" s="4" t="str">
        <f>HYPERLINK("http://141.218.60.56/~jnz1568/getInfo.php?workbook=10_02.xlsx&amp;sheet=A0&amp;row=497&amp;col=11&amp;number=185980&amp;sourceID=46","185980")</f>
        <v>185980</v>
      </c>
      <c r="L497" s="4" t="str">
        <f>HYPERLINK("http://141.218.60.56/~jnz1568/getInfo.php?workbook=10_02.xlsx&amp;sheet=A0&amp;row=497&amp;col=12&amp;number=&amp;sourceID=47","")</f>
        <v/>
      </c>
    </row>
    <row r="498" spans="1:12">
      <c r="A498" s="3">
        <v>10</v>
      </c>
      <c r="B498" s="3">
        <v>2</v>
      </c>
      <c r="C498" s="3">
        <v>36</v>
      </c>
      <c r="D498" s="3">
        <v>2</v>
      </c>
      <c r="E498" s="3">
        <f>((1/(INDEX(E0!J$4:J$52,C498,1)-INDEX(E0!J$4:J$52,D498,1))))*100000000</f>
        <v>0</v>
      </c>
      <c r="F498" s="4" t="str">
        <f>HYPERLINK("http://141.218.60.56/~jnz1568/getInfo.php?workbook=10_02.xlsx&amp;sheet=A0&amp;row=498&amp;col=6&amp;number=&amp;sourceID=27","")</f>
        <v/>
      </c>
      <c r="G498" s="4" t="str">
        <f>HYPERLINK("http://141.218.60.56/~jnz1568/getInfo.php?workbook=10_02.xlsx&amp;sheet=A0&amp;row=498&amp;col=7&amp;number=33540000000&amp;sourceID=32","33540000000")</f>
        <v>33540000000</v>
      </c>
      <c r="H498" s="4" t="str">
        <f>HYPERLINK("http://141.218.60.56/~jnz1568/getInfo.php?workbook=10_02.xlsx&amp;sheet=A0&amp;row=498&amp;col=8&amp;number=&amp;sourceID=32","")</f>
        <v/>
      </c>
      <c r="I498" s="4" t="str">
        <f>HYPERLINK("http://141.218.60.56/~jnz1568/getInfo.php?workbook=10_02.xlsx&amp;sheet=A0&amp;row=498&amp;col=9&amp;number=&amp;sourceID=32","")</f>
        <v/>
      </c>
      <c r="J498" s="4" t="str">
        <f>HYPERLINK("http://141.218.60.56/~jnz1568/getInfo.php?workbook=10_02.xlsx&amp;sheet=A0&amp;row=498&amp;col=10&amp;number=876.9&amp;sourceID=32","876.9")</f>
        <v>876.9</v>
      </c>
      <c r="K498" s="4" t="str">
        <f>HYPERLINK("http://141.218.60.56/~jnz1568/getInfo.php?workbook=10_02.xlsx&amp;sheet=A0&amp;row=498&amp;col=11&amp;number=31269000000&amp;sourceID=46","31269000000")</f>
        <v>31269000000</v>
      </c>
      <c r="L498" s="4" t="str">
        <f>HYPERLINK("http://141.218.60.56/~jnz1568/getInfo.php?workbook=10_02.xlsx&amp;sheet=A0&amp;row=498&amp;col=12&amp;number=&amp;sourceID=47","")</f>
        <v/>
      </c>
    </row>
    <row r="499" spans="1:12">
      <c r="A499" s="3">
        <v>10</v>
      </c>
      <c r="B499" s="3">
        <v>2</v>
      </c>
      <c r="C499" s="3">
        <v>36</v>
      </c>
      <c r="D499" s="3">
        <v>3</v>
      </c>
      <c r="E499" s="3">
        <f>((1/(INDEX(E0!J$4:J$52,C499,1)-INDEX(E0!J$4:J$52,D499,1))))*100000000</f>
        <v>0</v>
      </c>
      <c r="F499" s="4" t="str">
        <f>HYPERLINK("http://141.218.60.56/~jnz1568/getInfo.php?workbook=10_02.xlsx&amp;sheet=A0&amp;row=499&amp;col=6&amp;number=&amp;sourceID=27","")</f>
        <v/>
      </c>
      <c r="G499" s="4" t="str">
        <f>HYPERLINK("http://141.218.60.56/~jnz1568/getInfo.php?workbook=10_02.xlsx&amp;sheet=A0&amp;row=499&amp;col=7&amp;number=&amp;sourceID=32","")</f>
        <v/>
      </c>
      <c r="H499" s="4" t="str">
        <f>HYPERLINK("http://141.218.60.56/~jnz1568/getInfo.php?workbook=10_02.xlsx&amp;sheet=A0&amp;row=499&amp;col=8&amp;number=585000&amp;sourceID=32","585000")</f>
        <v>585000</v>
      </c>
      <c r="I499" s="4" t="str">
        <f>HYPERLINK("http://141.218.60.56/~jnz1568/getInfo.php?workbook=10_02.xlsx&amp;sheet=A0&amp;row=499&amp;col=9&amp;number=&amp;sourceID=32","")</f>
        <v/>
      </c>
      <c r="J499" s="4" t="str">
        <f>HYPERLINK("http://141.218.60.56/~jnz1568/getInfo.php?workbook=10_02.xlsx&amp;sheet=A0&amp;row=499&amp;col=10&amp;number=&amp;sourceID=32","")</f>
        <v/>
      </c>
      <c r="K499" s="4" t="str">
        <f>HYPERLINK("http://141.218.60.56/~jnz1568/getInfo.php?workbook=10_02.xlsx&amp;sheet=A0&amp;row=499&amp;col=11&amp;number=537310&amp;sourceID=46","537310")</f>
        <v>537310</v>
      </c>
      <c r="L499" s="4" t="str">
        <f>HYPERLINK("http://141.218.60.56/~jnz1568/getInfo.php?workbook=10_02.xlsx&amp;sheet=A0&amp;row=499&amp;col=12&amp;number=&amp;sourceID=47","")</f>
        <v/>
      </c>
    </row>
    <row r="500" spans="1:12">
      <c r="A500" s="3">
        <v>10</v>
      </c>
      <c r="B500" s="3">
        <v>2</v>
      </c>
      <c r="C500" s="3">
        <v>36</v>
      </c>
      <c r="D500" s="3">
        <v>4</v>
      </c>
      <c r="E500" s="3">
        <f>((1/(INDEX(E0!J$4:J$52,C500,1)-INDEX(E0!J$4:J$52,D500,1))))*100000000</f>
        <v>0</v>
      </c>
      <c r="F500" s="4" t="str">
        <f>HYPERLINK("http://141.218.60.56/~jnz1568/getInfo.php?workbook=10_02.xlsx&amp;sheet=A0&amp;row=500&amp;col=6&amp;number=&amp;sourceID=27","")</f>
        <v/>
      </c>
      <c r="G500" s="4" t="str">
        <f>HYPERLINK("http://141.218.60.56/~jnz1568/getInfo.php?workbook=10_02.xlsx&amp;sheet=A0&amp;row=500&amp;col=7&amp;number=&amp;sourceID=32","")</f>
        <v/>
      </c>
      <c r="H500" s="4" t="str">
        <f>HYPERLINK("http://141.218.60.56/~jnz1568/getInfo.php?workbook=10_02.xlsx&amp;sheet=A0&amp;row=500&amp;col=8&amp;number=1316000&amp;sourceID=32","1316000")</f>
        <v>1316000</v>
      </c>
      <c r="I500" s="4" t="str">
        <f>HYPERLINK("http://141.218.60.56/~jnz1568/getInfo.php?workbook=10_02.xlsx&amp;sheet=A0&amp;row=500&amp;col=9&amp;number=3.737&amp;sourceID=32","3.737")</f>
        <v>3.737</v>
      </c>
      <c r="J500" s="4" t="str">
        <f>HYPERLINK("http://141.218.60.56/~jnz1568/getInfo.php?workbook=10_02.xlsx&amp;sheet=A0&amp;row=500&amp;col=10&amp;number=&amp;sourceID=32","")</f>
        <v/>
      </c>
      <c r="K500" s="4" t="str">
        <f>HYPERLINK("http://141.218.60.56/~jnz1568/getInfo.php?workbook=10_02.xlsx&amp;sheet=A0&amp;row=500&amp;col=11&amp;number=1173300&amp;sourceID=46","1173300")</f>
        <v>1173300</v>
      </c>
      <c r="L500" s="4" t="str">
        <f>HYPERLINK("http://141.218.60.56/~jnz1568/getInfo.php?workbook=10_02.xlsx&amp;sheet=A0&amp;row=500&amp;col=12&amp;number=&amp;sourceID=47","")</f>
        <v/>
      </c>
    </row>
    <row r="501" spans="1:12">
      <c r="A501" s="3">
        <v>10</v>
      </c>
      <c r="B501" s="3">
        <v>2</v>
      </c>
      <c r="C501" s="3">
        <v>36</v>
      </c>
      <c r="D501" s="3">
        <v>5</v>
      </c>
      <c r="E501" s="3">
        <f>((1/(INDEX(E0!J$4:J$52,C501,1)-INDEX(E0!J$4:J$52,D501,1))))*100000000</f>
        <v>0</v>
      </c>
      <c r="F501" s="4" t="str">
        <f>HYPERLINK("http://141.218.60.56/~jnz1568/getInfo.php?workbook=10_02.xlsx&amp;sheet=A0&amp;row=501&amp;col=6&amp;number=&amp;sourceID=27","")</f>
        <v/>
      </c>
      <c r="G501" s="4" t="str">
        <f>HYPERLINK("http://141.218.60.56/~jnz1568/getInfo.php?workbook=10_02.xlsx&amp;sheet=A0&amp;row=501&amp;col=7&amp;number=&amp;sourceID=32","")</f>
        <v/>
      </c>
      <c r="H501" s="4" t="str">
        <f>HYPERLINK("http://141.218.60.56/~jnz1568/getInfo.php?workbook=10_02.xlsx&amp;sheet=A0&amp;row=501&amp;col=8&amp;number=1021000&amp;sourceID=32","1021000")</f>
        <v>1021000</v>
      </c>
      <c r="I501" s="4" t="str">
        <f>HYPERLINK("http://141.218.60.56/~jnz1568/getInfo.php?workbook=10_02.xlsx&amp;sheet=A0&amp;row=501&amp;col=9&amp;number=6.135&amp;sourceID=32","6.135")</f>
        <v>6.135</v>
      </c>
      <c r="J501" s="4" t="str">
        <f>HYPERLINK("http://141.218.60.56/~jnz1568/getInfo.php?workbook=10_02.xlsx&amp;sheet=A0&amp;row=501&amp;col=10&amp;number=&amp;sourceID=32","")</f>
        <v/>
      </c>
      <c r="K501" s="4" t="str">
        <f>HYPERLINK("http://141.218.60.56/~jnz1568/getInfo.php?workbook=10_02.xlsx&amp;sheet=A0&amp;row=501&amp;col=11&amp;number=857630&amp;sourceID=46","857630")</f>
        <v>857630</v>
      </c>
      <c r="L501" s="4" t="str">
        <f>HYPERLINK("http://141.218.60.56/~jnz1568/getInfo.php?workbook=10_02.xlsx&amp;sheet=A0&amp;row=501&amp;col=12&amp;number=&amp;sourceID=47","")</f>
        <v/>
      </c>
    </row>
    <row r="502" spans="1:12">
      <c r="A502" s="3">
        <v>10</v>
      </c>
      <c r="B502" s="3">
        <v>2</v>
      </c>
      <c r="C502" s="3">
        <v>36</v>
      </c>
      <c r="D502" s="3">
        <v>6</v>
      </c>
      <c r="E502" s="3">
        <f>((1/(INDEX(E0!J$4:J$52,C502,1)-INDEX(E0!J$4:J$52,D502,1))))*100000000</f>
        <v>0</v>
      </c>
      <c r="F502" s="4" t="str">
        <f>HYPERLINK("http://141.218.60.56/~jnz1568/getInfo.php?workbook=10_02.xlsx&amp;sheet=A0&amp;row=502&amp;col=6&amp;number=&amp;sourceID=27","")</f>
        <v/>
      </c>
      <c r="G502" s="4" t="str">
        <f>HYPERLINK("http://141.218.60.56/~jnz1568/getInfo.php?workbook=10_02.xlsx&amp;sheet=A0&amp;row=502&amp;col=7&amp;number=&amp;sourceID=32","")</f>
        <v/>
      </c>
      <c r="H502" s="4" t="str">
        <f>HYPERLINK("http://141.218.60.56/~jnz1568/getInfo.php?workbook=10_02.xlsx&amp;sheet=A0&amp;row=502&amp;col=8&amp;number=&amp;sourceID=32","")</f>
        <v/>
      </c>
      <c r="I502" s="4" t="str">
        <f>HYPERLINK("http://141.218.60.56/~jnz1568/getInfo.php?workbook=10_02.xlsx&amp;sheet=A0&amp;row=502&amp;col=9&amp;number=&amp;sourceID=32","")</f>
        <v/>
      </c>
      <c r="J502" s="4" t="str">
        <f>HYPERLINK("http://141.218.60.56/~jnz1568/getInfo.php?workbook=10_02.xlsx&amp;sheet=A0&amp;row=502&amp;col=10&amp;number=535.5&amp;sourceID=32","535.5")</f>
        <v>535.5</v>
      </c>
      <c r="K502" s="4" t="str">
        <f>HYPERLINK("http://141.218.60.56/~jnz1568/getInfo.php?workbook=10_02.xlsx&amp;sheet=A0&amp;row=502&amp;col=11&amp;number=547.48&amp;sourceID=46","547.48")</f>
        <v>547.48</v>
      </c>
      <c r="L502" s="4" t="str">
        <f>HYPERLINK("http://141.218.60.56/~jnz1568/getInfo.php?workbook=10_02.xlsx&amp;sheet=A0&amp;row=502&amp;col=12&amp;number=&amp;sourceID=47","")</f>
        <v/>
      </c>
    </row>
    <row r="503" spans="1:12">
      <c r="A503" s="3">
        <v>10</v>
      </c>
      <c r="B503" s="3">
        <v>2</v>
      </c>
      <c r="C503" s="3">
        <v>36</v>
      </c>
      <c r="D503" s="3">
        <v>7</v>
      </c>
      <c r="E503" s="3">
        <f>((1/(INDEX(E0!J$4:J$52,C503,1)-INDEX(E0!J$4:J$52,D503,1))))*100000000</f>
        <v>0</v>
      </c>
      <c r="F503" s="4" t="str">
        <f>HYPERLINK("http://141.218.60.56/~jnz1568/getInfo.php?workbook=10_02.xlsx&amp;sheet=A0&amp;row=503&amp;col=6&amp;number=&amp;sourceID=27","")</f>
        <v/>
      </c>
      <c r="G503" s="4" t="str">
        <f>HYPERLINK("http://141.218.60.56/~jnz1568/getInfo.php?workbook=10_02.xlsx&amp;sheet=A0&amp;row=503&amp;col=7&amp;number=&amp;sourceID=32","")</f>
        <v/>
      </c>
      <c r="H503" s="4" t="str">
        <f>HYPERLINK("http://141.218.60.56/~jnz1568/getInfo.php?workbook=10_02.xlsx&amp;sheet=A0&amp;row=503&amp;col=8&amp;number=674&amp;sourceID=32","674")</f>
        <v>674</v>
      </c>
      <c r="I503" s="4" t="str">
        <f>HYPERLINK("http://141.218.60.56/~jnz1568/getInfo.php?workbook=10_02.xlsx&amp;sheet=A0&amp;row=503&amp;col=9&amp;number=0.238&amp;sourceID=32","0.238")</f>
        <v>0.238</v>
      </c>
      <c r="J503" s="4" t="str">
        <f>HYPERLINK("http://141.218.60.56/~jnz1568/getInfo.php?workbook=10_02.xlsx&amp;sheet=A0&amp;row=503&amp;col=10&amp;number=&amp;sourceID=32","")</f>
        <v/>
      </c>
      <c r="K503" s="4" t="str">
        <f>HYPERLINK("http://141.218.60.56/~jnz1568/getInfo.php?workbook=10_02.xlsx&amp;sheet=A0&amp;row=503&amp;col=11&amp;number=9.9597&amp;sourceID=46","9.9597")</f>
        <v>9.9597</v>
      </c>
      <c r="L503" s="4" t="str">
        <f>HYPERLINK("http://141.218.60.56/~jnz1568/getInfo.php?workbook=10_02.xlsx&amp;sheet=A0&amp;row=503&amp;col=12&amp;number=&amp;sourceID=47","")</f>
        <v/>
      </c>
    </row>
    <row r="504" spans="1:12">
      <c r="A504" s="3">
        <v>10</v>
      </c>
      <c r="B504" s="3">
        <v>2</v>
      </c>
      <c r="C504" s="3">
        <v>36</v>
      </c>
      <c r="D504" s="3">
        <v>8</v>
      </c>
      <c r="E504" s="3">
        <f>((1/(INDEX(E0!J$4:J$52,C504,1)-INDEX(E0!J$4:J$52,D504,1))))*100000000</f>
        <v>0</v>
      </c>
      <c r="F504" s="4" t="str">
        <f>HYPERLINK("http://141.218.60.56/~jnz1568/getInfo.php?workbook=10_02.xlsx&amp;sheet=A0&amp;row=504&amp;col=6&amp;number=&amp;sourceID=27","")</f>
        <v/>
      </c>
      <c r="G504" s="4" t="str">
        <f>HYPERLINK("http://141.218.60.56/~jnz1568/getInfo.php?workbook=10_02.xlsx&amp;sheet=A0&amp;row=504&amp;col=7&amp;number=10370000000&amp;sourceID=32","10370000000")</f>
        <v>10370000000</v>
      </c>
      <c r="H504" s="4" t="str">
        <f>HYPERLINK("http://141.218.60.56/~jnz1568/getInfo.php?workbook=10_02.xlsx&amp;sheet=A0&amp;row=504&amp;col=8&amp;number=&amp;sourceID=32","")</f>
        <v/>
      </c>
      <c r="I504" s="4" t="str">
        <f>HYPERLINK("http://141.218.60.56/~jnz1568/getInfo.php?workbook=10_02.xlsx&amp;sheet=A0&amp;row=504&amp;col=9&amp;number=&amp;sourceID=32","")</f>
        <v/>
      </c>
      <c r="J504" s="4" t="str">
        <f>HYPERLINK("http://141.218.60.56/~jnz1568/getInfo.php?workbook=10_02.xlsx&amp;sheet=A0&amp;row=504&amp;col=10&amp;number=30.26&amp;sourceID=32","30.26")</f>
        <v>30.26</v>
      </c>
      <c r="K504" s="4" t="str">
        <f>HYPERLINK("http://141.218.60.56/~jnz1568/getInfo.php?workbook=10_02.xlsx&amp;sheet=A0&amp;row=504&amp;col=11&amp;number=10058000000&amp;sourceID=46","10058000000")</f>
        <v>10058000000</v>
      </c>
      <c r="L504" s="4" t="str">
        <f>HYPERLINK("http://141.218.60.56/~jnz1568/getInfo.php?workbook=10_02.xlsx&amp;sheet=A0&amp;row=504&amp;col=12&amp;number=&amp;sourceID=47","")</f>
        <v/>
      </c>
    </row>
    <row r="505" spans="1:12">
      <c r="A505" s="3">
        <v>10</v>
      </c>
      <c r="B505" s="3">
        <v>2</v>
      </c>
      <c r="C505" s="3">
        <v>36</v>
      </c>
      <c r="D505" s="3">
        <v>9</v>
      </c>
      <c r="E505" s="3">
        <f>((1/(INDEX(E0!J$4:J$52,C505,1)-INDEX(E0!J$4:J$52,D505,1))))*100000000</f>
        <v>0</v>
      </c>
      <c r="F505" s="4" t="str">
        <f>HYPERLINK("http://141.218.60.56/~jnz1568/getInfo.php?workbook=10_02.xlsx&amp;sheet=A0&amp;row=505&amp;col=6&amp;number=&amp;sourceID=27","")</f>
        <v/>
      </c>
      <c r="G505" s="4" t="str">
        <f>HYPERLINK("http://141.218.60.56/~jnz1568/getInfo.php?workbook=10_02.xlsx&amp;sheet=A0&amp;row=505&amp;col=7&amp;number=&amp;sourceID=32","")</f>
        <v/>
      </c>
      <c r="H505" s="4" t="str">
        <f>HYPERLINK("http://141.218.60.56/~jnz1568/getInfo.php?workbook=10_02.xlsx&amp;sheet=A0&amp;row=505&amp;col=8&amp;number=157200&amp;sourceID=32","157200")</f>
        <v>157200</v>
      </c>
      <c r="I505" s="4" t="str">
        <f>HYPERLINK("http://141.218.60.56/~jnz1568/getInfo.php?workbook=10_02.xlsx&amp;sheet=A0&amp;row=505&amp;col=9&amp;number=&amp;sourceID=32","")</f>
        <v/>
      </c>
      <c r="J505" s="4" t="str">
        <f>HYPERLINK("http://141.218.60.56/~jnz1568/getInfo.php?workbook=10_02.xlsx&amp;sheet=A0&amp;row=505&amp;col=10&amp;number=&amp;sourceID=32","")</f>
        <v/>
      </c>
      <c r="K505" s="4" t="str">
        <f>HYPERLINK("http://141.218.60.56/~jnz1568/getInfo.php?workbook=10_02.xlsx&amp;sheet=A0&amp;row=505&amp;col=11&amp;number=154990&amp;sourceID=46","154990")</f>
        <v>154990</v>
      </c>
      <c r="L505" s="4" t="str">
        <f>HYPERLINK("http://141.218.60.56/~jnz1568/getInfo.php?workbook=10_02.xlsx&amp;sheet=A0&amp;row=505&amp;col=12&amp;number=&amp;sourceID=47","")</f>
        <v/>
      </c>
    </row>
    <row r="506" spans="1:12">
      <c r="A506" s="3">
        <v>10</v>
      </c>
      <c r="B506" s="3">
        <v>2</v>
      </c>
      <c r="C506" s="3">
        <v>36</v>
      </c>
      <c r="D506" s="3">
        <v>10</v>
      </c>
      <c r="E506" s="3">
        <f>((1/(INDEX(E0!J$4:J$52,C506,1)-INDEX(E0!J$4:J$52,D506,1))))*100000000</f>
        <v>0</v>
      </c>
      <c r="F506" s="4" t="str">
        <f>HYPERLINK("http://141.218.60.56/~jnz1568/getInfo.php?workbook=10_02.xlsx&amp;sheet=A0&amp;row=506&amp;col=6&amp;number=&amp;sourceID=27","")</f>
        <v/>
      </c>
      <c r="G506" s="4" t="str">
        <f>HYPERLINK("http://141.218.60.56/~jnz1568/getInfo.php?workbook=10_02.xlsx&amp;sheet=A0&amp;row=506&amp;col=7&amp;number=&amp;sourceID=32","")</f>
        <v/>
      </c>
      <c r="H506" s="4" t="str">
        <f>HYPERLINK("http://141.218.60.56/~jnz1568/getInfo.php?workbook=10_02.xlsx&amp;sheet=A0&amp;row=506&amp;col=8&amp;number=353400&amp;sourceID=32","353400")</f>
        <v>353400</v>
      </c>
      <c r="I506" s="4" t="str">
        <f>HYPERLINK("http://141.218.60.56/~jnz1568/getInfo.php?workbook=10_02.xlsx&amp;sheet=A0&amp;row=506&amp;col=9&amp;number=0.3909&amp;sourceID=32","0.3909")</f>
        <v>0.3909</v>
      </c>
      <c r="J506" s="4" t="str">
        <f>HYPERLINK("http://141.218.60.56/~jnz1568/getInfo.php?workbook=10_02.xlsx&amp;sheet=A0&amp;row=506&amp;col=10&amp;number=&amp;sourceID=32","")</f>
        <v/>
      </c>
      <c r="K506" s="4" t="str">
        <f>HYPERLINK("http://141.218.60.56/~jnz1568/getInfo.php?workbook=10_02.xlsx&amp;sheet=A0&amp;row=506&amp;col=11&amp;number=346910&amp;sourceID=46","346910")</f>
        <v>346910</v>
      </c>
      <c r="L506" s="4" t="str">
        <f>HYPERLINK("http://141.218.60.56/~jnz1568/getInfo.php?workbook=10_02.xlsx&amp;sheet=A0&amp;row=506&amp;col=12&amp;number=&amp;sourceID=47","")</f>
        <v/>
      </c>
    </row>
    <row r="507" spans="1:12">
      <c r="A507" s="3">
        <v>10</v>
      </c>
      <c r="B507" s="3">
        <v>2</v>
      </c>
      <c r="C507" s="3">
        <v>36</v>
      </c>
      <c r="D507" s="3">
        <v>11</v>
      </c>
      <c r="E507" s="3">
        <f>((1/(INDEX(E0!J$4:J$52,C507,1)-INDEX(E0!J$4:J$52,D507,1))))*100000000</f>
        <v>0</v>
      </c>
      <c r="F507" s="4" t="str">
        <f>HYPERLINK("http://141.218.60.56/~jnz1568/getInfo.php?workbook=10_02.xlsx&amp;sheet=A0&amp;row=507&amp;col=6&amp;number=&amp;sourceID=27","")</f>
        <v/>
      </c>
      <c r="G507" s="4" t="str">
        <f>HYPERLINK("http://141.218.60.56/~jnz1568/getInfo.php?workbook=10_02.xlsx&amp;sheet=A0&amp;row=507&amp;col=7&amp;number=&amp;sourceID=32","")</f>
        <v/>
      </c>
      <c r="H507" s="4" t="str">
        <f>HYPERLINK("http://141.218.60.56/~jnz1568/getInfo.php?workbook=10_02.xlsx&amp;sheet=A0&amp;row=507&amp;col=8&amp;number=&amp;sourceID=32","")</f>
        <v/>
      </c>
      <c r="I507" s="4" t="str">
        <f>HYPERLINK("http://141.218.60.56/~jnz1568/getInfo.php?workbook=10_02.xlsx&amp;sheet=A0&amp;row=507&amp;col=9&amp;number=&amp;sourceID=32","")</f>
        <v/>
      </c>
      <c r="J507" s="4" t="str">
        <f>HYPERLINK("http://141.218.60.56/~jnz1568/getInfo.php?workbook=10_02.xlsx&amp;sheet=A0&amp;row=507&amp;col=10&amp;number=20.07&amp;sourceID=32","20.07")</f>
        <v>20.07</v>
      </c>
      <c r="K507" s="4" t="str">
        <f>HYPERLINK("http://141.218.60.56/~jnz1568/getInfo.php?workbook=10_02.xlsx&amp;sheet=A0&amp;row=507&amp;col=11&amp;number=20.233&amp;sourceID=46","20.233")</f>
        <v>20.233</v>
      </c>
      <c r="L507" s="4" t="str">
        <f>HYPERLINK("http://141.218.60.56/~jnz1568/getInfo.php?workbook=10_02.xlsx&amp;sheet=A0&amp;row=507&amp;col=12&amp;number=&amp;sourceID=47","")</f>
        <v/>
      </c>
    </row>
    <row r="508" spans="1:12">
      <c r="A508" s="3">
        <v>10</v>
      </c>
      <c r="B508" s="3">
        <v>2</v>
      </c>
      <c r="C508" s="3">
        <v>36</v>
      </c>
      <c r="D508" s="3">
        <v>12</v>
      </c>
      <c r="E508" s="3">
        <f>((1/(INDEX(E0!J$4:J$52,C508,1)-INDEX(E0!J$4:J$52,D508,1))))*100000000</f>
        <v>0</v>
      </c>
      <c r="F508" s="4" t="str">
        <f>HYPERLINK("http://141.218.60.56/~jnz1568/getInfo.php?workbook=10_02.xlsx&amp;sheet=A0&amp;row=508&amp;col=6&amp;number=&amp;sourceID=27","")</f>
        <v/>
      </c>
      <c r="G508" s="4" t="str">
        <f>HYPERLINK("http://141.218.60.56/~jnz1568/getInfo.php?workbook=10_02.xlsx&amp;sheet=A0&amp;row=508&amp;col=7&amp;number=&amp;sourceID=32","")</f>
        <v/>
      </c>
      <c r="H508" s="4" t="str">
        <f>HYPERLINK("http://141.218.60.56/~jnz1568/getInfo.php?workbook=10_02.xlsx&amp;sheet=A0&amp;row=508&amp;col=8&amp;number=274500&amp;sourceID=32","274500")</f>
        <v>274500</v>
      </c>
      <c r="I508" s="4" t="str">
        <f>HYPERLINK("http://141.218.60.56/~jnz1568/getInfo.php?workbook=10_02.xlsx&amp;sheet=A0&amp;row=508&amp;col=9&amp;number=0.1813&amp;sourceID=32","0.1813")</f>
        <v>0.1813</v>
      </c>
      <c r="J508" s="4" t="str">
        <f>HYPERLINK("http://141.218.60.56/~jnz1568/getInfo.php?workbook=10_02.xlsx&amp;sheet=A0&amp;row=508&amp;col=10&amp;number=&amp;sourceID=32","")</f>
        <v/>
      </c>
      <c r="K508" s="4" t="str">
        <f>HYPERLINK("http://141.218.60.56/~jnz1568/getInfo.php?workbook=10_02.xlsx&amp;sheet=A0&amp;row=508&amp;col=11&amp;number=267320&amp;sourceID=46","267320")</f>
        <v>267320</v>
      </c>
      <c r="L508" s="4" t="str">
        <f>HYPERLINK("http://141.218.60.56/~jnz1568/getInfo.php?workbook=10_02.xlsx&amp;sheet=A0&amp;row=508&amp;col=12&amp;number=&amp;sourceID=47","")</f>
        <v/>
      </c>
    </row>
    <row r="509" spans="1:12">
      <c r="A509" s="3">
        <v>10</v>
      </c>
      <c r="B509" s="3">
        <v>2</v>
      </c>
      <c r="C509" s="3">
        <v>36</v>
      </c>
      <c r="D509" s="3">
        <v>13</v>
      </c>
      <c r="E509" s="3">
        <f>((1/(INDEX(E0!J$4:J$52,C509,1)-INDEX(E0!J$4:J$52,D509,1))))*100000000</f>
        <v>0</v>
      </c>
      <c r="F509" s="4" t="str">
        <f>HYPERLINK("http://141.218.60.56/~jnz1568/getInfo.php?workbook=10_02.xlsx&amp;sheet=A0&amp;row=509&amp;col=6&amp;number=&amp;sourceID=27","")</f>
        <v/>
      </c>
      <c r="G509" s="4" t="str">
        <f>HYPERLINK("http://141.218.60.56/~jnz1568/getInfo.php?workbook=10_02.xlsx&amp;sheet=A0&amp;row=509&amp;col=7&amp;number=11680000&amp;sourceID=32","11680000")</f>
        <v>11680000</v>
      </c>
      <c r="H509" s="4" t="str">
        <f>HYPERLINK("http://141.218.60.56/~jnz1568/getInfo.php?workbook=10_02.xlsx&amp;sheet=A0&amp;row=509&amp;col=8&amp;number=&amp;sourceID=32","")</f>
        <v/>
      </c>
      <c r="I509" s="4" t="str">
        <f>HYPERLINK("http://141.218.60.56/~jnz1568/getInfo.php?workbook=10_02.xlsx&amp;sheet=A0&amp;row=509&amp;col=9&amp;number=&amp;sourceID=32","")</f>
        <v/>
      </c>
      <c r="J509" s="4" t="str">
        <f>HYPERLINK("http://141.218.60.56/~jnz1568/getInfo.php?workbook=10_02.xlsx&amp;sheet=A0&amp;row=509&amp;col=10&amp;number=1.58e-06&amp;sourceID=32","1.58e-06")</f>
        <v>1.58e-06</v>
      </c>
      <c r="K509" s="4" t="str">
        <f>HYPERLINK("http://141.218.60.56/~jnz1568/getInfo.php?workbook=10_02.xlsx&amp;sheet=A0&amp;row=509&amp;col=11&amp;number=11640000&amp;sourceID=46","11640000")</f>
        <v>11640000</v>
      </c>
      <c r="L509" s="4" t="str">
        <f>HYPERLINK("http://141.218.60.56/~jnz1568/getInfo.php?workbook=10_02.xlsx&amp;sheet=A0&amp;row=509&amp;col=12&amp;number=&amp;sourceID=47","")</f>
        <v/>
      </c>
    </row>
    <row r="510" spans="1:12">
      <c r="A510" s="3">
        <v>10</v>
      </c>
      <c r="B510" s="3">
        <v>2</v>
      </c>
      <c r="C510" s="3">
        <v>36</v>
      </c>
      <c r="D510" s="3">
        <v>14</v>
      </c>
      <c r="E510" s="3">
        <f>((1/(INDEX(E0!J$4:J$52,C510,1)-INDEX(E0!J$4:J$52,D510,1))))*100000000</f>
        <v>0</v>
      </c>
      <c r="F510" s="4" t="str">
        <f>HYPERLINK("http://141.218.60.56/~jnz1568/getInfo.php?workbook=10_02.xlsx&amp;sheet=A0&amp;row=510&amp;col=6&amp;number=&amp;sourceID=27","")</f>
        <v/>
      </c>
      <c r="G510" s="4" t="str">
        <f>HYPERLINK("http://141.218.60.56/~jnz1568/getInfo.php?workbook=10_02.xlsx&amp;sheet=A0&amp;row=510&amp;col=7&amp;number=169100000&amp;sourceID=32","169100000")</f>
        <v>169100000</v>
      </c>
      <c r="H510" s="4" t="str">
        <f>HYPERLINK("http://141.218.60.56/~jnz1568/getInfo.php?workbook=10_02.xlsx&amp;sheet=A0&amp;row=510&amp;col=8&amp;number=&amp;sourceID=32","")</f>
        <v/>
      </c>
      <c r="I510" s="4" t="str">
        <f>HYPERLINK("http://141.218.60.56/~jnz1568/getInfo.php?workbook=10_02.xlsx&amp;sheet=A0&amp;row=510&amp;col=9&amp;number=&amp;sourceID=32","")</f>
        <v/>
      </c>
      <c r="J510" s="4" t="str">
        <f>HYPERLINK("http://141.218.60.56/~jnz1568/getInfo.php?workbook=10_02.xlsx&amp;sheet=A0&amp;row=510&amp;col=10&amp;number=0.2531&amp;sourceID=32","0.2531")</f>
        <v>0.2531</v>
      </c>
      <c r="K510" s="4" t="str">
        <f>HYPERLINK("http://141.218.60.56/~jnz1568/getInfo.php?workbook=10_02.xlsx&amp;sheet=A0&amp;row=510&amp;col=11&amp;number=170280000&amp;sourceID=46","170280000")</f>
        <v>170280000</v>
      </c>
      <c r="L510" s="4" t="str">
        <f>HYPERLINK("http://141.218.60.56/~jnz1568/getInfo.php?workbook=10_02.xlsx&amp;sheet=A0&amp;row=510&amp;col=12&amp;number=&amp;sourceID=47","")</f>
        <v/>
      </c>
    </row>
    <row r="511" spans="1:12">
      <c r="A511" s="3">
        <v>10</v>
      </c>
      <c r="B511" s="3">
        <v>2</v>
      </c>
      <c r="C511" s="3">
        <v>36</v>
      </c>
      <c r="D511" s="3">
        <v>15</v>
      </c>
      <c r="E511" s="3">
        <f>((1/(INDEX(E0!J$4:J$52,C511,1)-INDEX(E0!J$4:J$52,D511,1))))*100000000</f>
        <v>0</v>
      </c>
      <c r="F511" s="4" t="str">
        <f>HYPERLINK("http://141.218.60.56/~jnz1568/getInfo.php?workbook=10_02.xlsx&amp;sheet=A0&amp;row=511&amp;col=6&amp;number=&amp;sourceID=27","")</f>
        <v/>
      </c>
      <c r="G511" s="4" t="str">
        <f>HYPERLINK("http://141.218.60.56/~jnz1568/getInfo.php?workbook=10_02.xlsx&amp;sheet=A0&amp;row=511&amp;col=7&amp;number=991700000&amp;sourceID=32","991700000")</f>
        <v>991700000</v>
      </c>
      <c r="H511" s="4" t="str">
        <f>HYPERLINK("http://141.218.60.56/~jnz1568/getInfo.php?workbook=10_02.xlsx&amp;sheet=A0&amp;row=511&amp;col=8&amp;number=&amp;sourceID=32","")</f>
        <v/>
      </c>
      <c r="I511" s="4" t="str">
        <f>HYPERLINK("http://141.218.60.56/~jnz1568/getInfo.php?workbook=10_02.xlsx&amp;sheet=A0&amp;row=511&amp;col=9&amp;number=&amp;sourceID=32","")</f>
        <v/>
      </c>
      <c r="J511" s="4" t="str">
        <f>HYPERLINK("http://141.218.60.56/~jnz1568/getInfo.php?workbook=10_02.xlsx&amp;sheet=A0&amp;row=511&amp;col=10&amp;number=4.828&amp;sourceID=32","4.828")</f>
        <v>4.828</v>
      </c>
      <c r="K511" s="4" t="str">
        <f>HYPERLINK("http://141.218.60.56/~jnz1568/getInfo.php?workbook=10_02.xlsx&amp;sheet=A0&amp;row=511&amp;col=11&amp;number=981990000&amp;sourceID=46","981990000")</f>
        <v>981990000</v>
      </c>
      <c r="L511" s="4" t="str">
        <f>HYPERLINK("http://141.218.60.56/~jnz1568/getInfo.php?workbook=10_02.xlsx&amp;sheet=A0&amp;row=511&amp;col=12&amp;number=&amp;sourceID=47","")</f>
        <v/>
      </c>
    </row>
    <row r="512" spans="1:12">
      <c r="A512" s="3">
        <v>10</v>
      </c>
      <c r="B512" s="3">
        <v>2</v>
      </c>
      <c r="C512" s="3">
        <v>36</v>
      </c>
      <c r="D512" s="3">
        <v>16</v>
      </c>
      <c r="E512" s="3">
        <f>((1/(INDEX(E0!J$4:J$52,C512,1)-INDEX(E0!J$4:J$52,D512,1))))*100000000</f>
        <v>0</v>
      </c>
      <c r="F512" s="4" t="str">
        <f>HYPERLINK("http://141.218.60.56/~jnz1568/getInfo.php?workbook=10_02.xlsx&amp;sheet=A0&amp;row=512&amp;col=6&amp;number=&amp;sourceID=27","")</f>
        <v/>
      </c>
      <c r="G512" s="4" t="str">
        <f>HYPERLINK("http://141.218.60.56/~jnz1568/getInfo.php?workbook=10_02.xlsx&amp;sheet=A0&amp;row=512&amp;col=7&amp;number=7603000&amp;sourceID=32","7603000")</f>
        <v>7603000</v>
      </c>
      <c r="H512" s="4" t="str">
        <f>HYPERLINK("http://141.218.60.56/~jnz1568/getInfo.php?workbook=10_02.xlsx&amp;sheet=A0&amp;row=512&amp;col=8&amp;number=&amp;sourceID=32","")</f>
        <v/>
      </c>
      <c r="I512" s="4" t="str">
        <f>HYPERLINK("http://141.218.60.56/~jnz1568/getInfo.php?workbook=10_02.xlsx&amp;sheet=A0&amp;row=512&amp;col=9&amp;number=&amp;sourceID=32","")</f>
        <v/>
      </c>
      <c r="J512" s="4" t="str">
        <f>HYPERLINK("http://141.218.60.56/~jnz1568/getInfo.php?workbook=10_02.xlsx&amp;sheet=A0&amp;row=512&amp;col=10&amp;number=0.9592&amp;sourceID=32","0.9592")</f>
        <v>0.9592</v>
      </c>
      <c r="K512" s="4" t="str">
        <f>HYPERLINK("http://141.218.60.56/~jnz1568/getInfo.php?workbook=10_02.xlsx&amp;sheet=A0&amp;row=512&amp;col=11&amp;number=4811100&amp;sourceID=46","4811100")</f>
        <v>4811100</v>
      </c>
      <c r="L512" s="4" t="str">
        <f>HYPERLINK("http://141.218.60.56/~jnz1568/getInfo.php?workbook=10_02.xlsx&amp;sheet=A0&amp;row=512&amp;col=12&amp;number=&amp;sourceID=47","")</f>
        <v/>
      </c>
    </row>
    <row r="513" spans="1:12">
      <c r="A513" s="3">
        <v>10</v>
      </c>
      <c r="B513" s="3">
        <v>2</v>
      </c>
      <c r="C513" s="3">
        <v>36</v>
      </c>
      <c r="D513" s="3">
        <v>17</v>
      </c>
      <c r="E513" s="3">
        <f>((1/(INDEX(E0!J$4:J$52,C513,1)-INDEX(E0!J$4:J$52,D513,1))))*100000000</f>
        <v>0</v>
      </c>
      <c r="F513" s="4" t="str">
        <f>HYPERLINK("http://141.218.60.56/~jnz1568/getInfo.php?workbook=10_02.xlsx&amp;sheet=A0&amp;row=513&amp;col=6&amp;number=&amp;sourceID=27","")</f>
        <v/>
      </c>
      <c r="G513" s="4" t="str">
        <f>HYPERLINK("http://141.218.60.56/~jnz1568/getInfo.php?workbook=10_02.xlsx&amp;sheet=A0&amp;row=513&amp;col=7&amp;number=&amp;sourceID=32","")</f>
        <v/>
      </c>
      <c r="H513" s="4" t="str">
        <f>HYPERLINK("http://141.218.60.56/~jnz1568/getInfo.php?workbook=10_02.xlsx&amp;sheet=A0&amp;row=513&amp;col=8&amp;number=213&amp;sourceID=32","213")</f>
        <v>213</v>
      </c>
      <c r="I513" s="4" t="str">
        <f>HYPERLINK("http://141.218.60.56/~jnz1568/getInfo.php?workbook=10_02.xlsx&amp;sheet=A0&amp;row=513&amp;col=9&amp;number=0.09864&amp;sourceID=32","0.09864")</f>
        <v>0.09864</v>
      </c>
      <c r="J513" s="4" t="str">
        <f>HYPERLINK("http://141.218.60.56/~jnz1568/getInfo.php?workbook=10_02.xlsx&amp;sheet=A0&amp;row=513&amp;col=10&amp;number=&amp;sourceID=32","")</f>
        <v/>
      </c>
      <c r="K513" s="4" t="str">
        <f>HYPERLINK("http://141.218.60.56/~jnz1568/getInfo.php?workbook=10_02.xlsx&amp;sheet=A0&amp;row=513&amp;col=11&amp;number=116.41&amp;sourceID=46","116.41")</f>
        <v>116.41</v>
      </c>
      <c r="L513" s="4" t="str">
        <f>HYPERLINK("http://141.218.60.56/~jnz1568/getInfo.php?workbook=10_02.xlsx&amp;sheet=A0&amp;row=513&amp;col=12&amp;number=&amp;sourceID=47","")</f>
        <v/>
      </c>
    </row>
    <row r="514" spans="1:12">
      <c r="A514" s="3">
        <v>10</v>
      </c>
      <c r="B514" s="3">
        <v>2</v>
      </c>
      <c r="C514" s="3">
        <v>36</v>
      </c>
      <c r="D514" s="3">
        <v>18</v>
      </c>
      <c r="E514" s="3">
        <f>((1/(INDEX(E0!J$4:J$52,C514,1)-INDEX(E0!J$4:J$52,D514,1))))*100000000</f>
        <v>0</v>
      </c>
      <c r="F514" s="4" t="str">
        <f>HYPERLINK("http://141.218.60.56/~jnz1568/getInfo.php?workbook=10_02.xlsx&amp;sheet=A0&amp;row=514&amp;col=6&amp;number=&amp;sourceID=27","")</f>
        <v/>
      </c>
      <c r="G514" s="4" t="str">
        <f>HYPERLINK("http://141.218.60.56/~jnz1568/getInfo.php?workbook=10_02.xlsx&amp;sheet=A0&amp;row=514&amp;col=7&amp;number=4381000000&amp;sourceID=32","4381000000")</f>
        <v>4381000000</v>
      </c>
      <c r="H514" s="4" t="str">
        <f>HYPERLINK("http://141.218.60.56/~jnz1568/getInfo.php?workbook=10_02.xlsx&amp;sheet=A0&amp;row=514&amp;col=8&amp;number=&amp;sourceID=32","")</f>
        <v/>
      </c>
      <c r="I514" s="4" t="str">
        <f>HYPERLINK("http://141.218.60.56/~jnz1568/getInfo.php?workbook=10_02.xlsx&amp;sheet=A0&amp;row=514&amp;col=9&amp;number=&amp;sourceID=32","")</f>
        <v/>
      </c>
      <c r="J514" s="4" t="str">
        <f>HYPERLINK("http://141.218.60.56/~jnz1568/getInfo.php?workbook=10_02.xlsx&amp;sheet=A0&amp;row=514&amp;col=10&amp;number=1.299&amp;sourceID=32","1.299")</f>
        <v>1.299</v>
      </c>
      <c r="K514" s="4" t="str">
        <f>HYPERLINK("http://141.218.60.56/~jnz1568/getInfo.php?workbook=10_02.xlsx&amp;sheet=A0&amp;row=514&amp;col=11&amp;number=4344500000&amp;sourceID=46","4344500000")</f>
        <v>4344500000</v>
      </c>
      <c r="L514" s="4" t="str">
        <f>HYPERLINK("http://141.218.60.56/~jnz1568/getInfo.php?workbook=10_02.xlsx&amp;sheet=A0&amp;row=514&amp;col=12&amp;number=&amp;sourceID=47","")</f>
        <v/>
      </c>
    </row>
    <row r="515" spans="1:12">
      <c r="A515" s="3">
        <v>10</v>
      </c>
      <c r="B515" s="3">
        <v>2</v>
      </c>
      <c r="C515" s="3">
        <v>36</v>
      </c>
      <c r="D515" s="3">
        <v>19</v>
      </c>
      <c r="E515" s="3">
        <f>((1/(INDEX(E0!J$4:J$52,C515,1)-INDEX(E0!J$4:J$52,D515,1))))*100000000</f>
        <v>0</v>
      </c>
      <c r="F515" s="4" t="str">
        <f>HYPERLINK("http://141.218.60.56/~jnz1568/getInfo.php?workbook=10_02.xlsx&amp;sheet=A0&amp;row=515&amp;col=6&amp;number=&amp;sourceID=27","")</f>
        <v/>
      </c>
      <c r="G515" s="4" t="str">
        <f>HYPERLINK("http://141.218.60.56/~jnz1568/getInfo.php?workbook=10_02.xlsx&amp;sheet=A0&amp;row=515&amp;col=7&amp;number=&amp;sourceID=32","")</f>
        <v/>
      </c>
      <c r="H515" s="4" t="str">
        <f>HYPERLINK("http://141.218.60.56/~jnz1568/getInfo.php?workbook=10_02.xlsx&amp;sheet=A0&amp;row=515&amp;col=8&amp;number=49740&amp;sourceID=32","49740")</f>
        <v>49740</v>
      </c>
      <c r="I515" s="4" t="str">
        <f>HYPERLINK("http://141.218.60.56/~jnz1568/getInfo.php?workbook=10_02.xlsx&amp;sheet=A0&amp;row=515&amp;col=9&amp;number=&amp;sourceID=32","")</f>
        <v/>
      </c>
      <c r="J515" s="4" t="str">
        <f>HYPERLINK("http://141.218.60.56/~jnz1568/getInfo.php?workbook=10_02.xlsx&amp;sheet=A0&amp;row=515&amp;col=10&amp;number=&amp;sourceID=32","")</f>
        <v/>
      </c>
      <c r="K515" s="4" t="str">
        <f>HYPERLINK("http://141.218.60.56/~jnz1568/getInfo.php?workbook=10_02.xlsx&amp;sheet=A0&amp;row=515&amp;col=11&amp;number=49678&amp;sourceID=46","49678")</f>
        <v>49678</v>
      </c>
      <c r="L515" s="4" t="str">
        <f>HYPERLINK("http://141.218.60.56/~jnz1568/getInfo.php?workbook=10_02.xlsx&amp;sheet=A0&amp;row=515&amp;col=12&amp;number=&amp;sourceID=47","")</f>
        <v/>
      </c>
    </row>
    <row r="516" spans="1:12">
      <c r="A516" s="3">
        <v>10</v>
      </c>
      <c r="B516" s="3">
        <v>2</v>
      </c>
      <c r="C516" s="3">
        <v>36</v>
      </c>
      <c r="D516" s="3">
        <v>20</v>
      </c>
      <c r="E516" s="3">
        <f>((1/(INDEX(E0!J$4:J$52,C516,1)-INDEX(E0!J$4:J$52,D516,1))))*100000000</f>
        <v>0</v>
      </c>
      <c r="F516" s="4" t="str">
        <f>HYPERLINK("http://141.218.60.56/~jnz1568/getInfo.php?workbook=10_02.xlsx&amp;sheet=A0&amp;row=516&amp;col=6&amp;number=&amp;sourceID=27","")</f>
        <v/>
      </c>
      <c r="G516" s="4" t="str">
        <f>HYPERLINK("http://141.218.60.56/~jnz1568/getInfo.php?workbook=10_02.xlsx&amp;sheet=A0&amp;row=516&amp;col=7&amp;number=&amp;sourceID=32","")</f>
        <v/>
      </c>
      <c r="H516" s="4" t="str">
        <f>HYPERLINK("http://141.218.60.56/~jnz1568/getInfo.php?workbook=10_02.xlsx&amp;sheet=A0&amp;row=516&amp;col=8&amp;number=111800&amp;sourceID=32","111800")</f>
        <v>111800</v>
      </c>
      <c r="I516" s="4" t="str">
        <f>HYPERLINK("http://141.218.60.56/~jnz1568/getInfo.php?workbook=10_02.xlsx&amp;sheet=A0&amp;row=516&amp;col=9&amp;number=0.05202&amp;sourceID=32","0.05202")</f>
        <v>0.05202</v>
      </c>
      <c r="J516" s="4" t="str">
        <f>HYPERLINK("http://141.218.60.56/~jnz1568/getInfo.php?workbook=10_02.xlsx&amp;sheet=A0&amp;row=516&amp;col=10&amp;number=&amp;sourceID=32","")</f>
        <v/>
      </c>
      <c r="K516" s="4" t="str">
        <f>HYPERLINK("http://141.218.60.56/~jnz1568/getInfo.php?workbook=10_02.xlsx&amp;sheet=A0&amp;row=516&amp;col=11&amp;number=111570&amp;sourceID=46","111570")</f>
        <v>111570</v>
      </c>
      <c r="L516" s="4" t="str">
        <f>HYPERLINK("http://141.218.60.56/~jnz1568/getInfo.php?workbook=10_02.xlsx&amp;sheet=A0&amp;row=516&amp;col=12&amp;number=&amp;sourceID=47","")</f>
        <v/>
      </c>
    </row>
    <row r="517" spans="1:12">
      <c r="A517" s="3">
        <v>10</v>
      </c>
      <c r="B517" s="3">
        <v>2</v>
      </c>
      <c r="C517" s="3">
        <v>36</v>
      </c>
      <c r="D517" s="3">
        <v>21</v>
      </c>
      <c r="E517" s="3">
        <f>((1/(INDEX(E0!J$4:J$52,C517,1)-INDEX(E0!J$4:J$52,D517,1))))*100000000</f>
        <v>0</v>
      </c>
      <c r="F517" s="4" t="str">
        <f>HYPERLINK("http://141.218.60.56/~jnz1568/getInfo.php?workbook=10_02.xlsx&amp;sheet=A0&amp;row=517&amp;col=6&amp;number=&amp;sourceID=27","")</f>
        <v/>
      </c>
      <c r="G517" s="4" t="str">
        <f>HYPERLINK("http://141.218.60.56/~jnz1568/getInfo.php?workbook=10_02.xlsx&amp;sheet=A0&amp;row=517&amp;col=7&amp;number=&amp;sourceID=32","")</f>
        <v/>
      </c>
      <c r="H517" s="4" t="str">
        <f>HYPERLINK("http://141.218.60.56/~jnz1568/getInfo.php?workbook=10_02.xlsx&amp;sheet=A0&amp;row=517&amp;col=8&amp;number=&amp;sourceID=32","")</f>
        <v/>
      </c>
      <c r="I517" s="4" t="str">
        <f>HYPERLINK("http://141.218.60.56/~jnz1568/getInfo.php?workbook=10_02.xlsx&amp;sheet=A0&amp;row=517&amp;col=9&amp;number=&amp;sourceID=32","")</f>
        <v/>
      </c>
      <c r="J517" s="4" t="str">
        <f>HYPERLINK("http://141.218.60.56/~jnz1568/getInfo.php?workbook=10_02.xlsx&amp;sheet=A0&amp;row=517&amp;col=10&amp;number=0.8969&amp;sourceID=32","0.8969")</f>
        <v>0.8969</v>
      </c>
      <c r="K517" s="4" t="str">
        <f>HYPERLINK("http://141.218.60.56/~jnz1568/getInfo.php?workbook=10_02.xlsx&amp;sheet=A0&amp;row=517&amp;col=11&amp;number=&amp;sourceID=46","")</f>
        <v/>
      </c>
      <c r="L517" s="4" t="str">
        <f>HYPERLINK("http://141.218.60.56/~jnz1568/getInfo.php?workbook=10_02.xlsx&amp;sheet=A0&amp;row=517&amp;col=12&amp;number=&amp;sourceID=47","")</f>
        <v/>
      </c>
    </row>
    <row r="518" spans="1:12">
      <c r="A518" s="3">
        <v>10</v>
      </c>
      <c r="B518" s="3">
        <v>2</v>
      </c>
      <c r="C518" s="3">
        <v>36</v>
      </c>
      <c r="D518" s="3">
        <v>22</v>
      </c>
      <c r="E518" s="3">
        <f>((1/(INDEX(E0!J$4:J$52,C518,1)-INDEX(E0!J$4:J$52,D518,1))))*100000000</f>
        <v>0</v>
      </c>
      <c r="F518" s="4" t="str">
        <f>HYPERLINK("http://141.218.60.56/~jnz1568/getInfo.php?workbook=10_02.xlsx&amp;sheet=A0&amp;row=518&amp;col=6&amp;number=&amp;sourceID=27","")</f>
        <v/>
      </c>
      <c r="G518" s="4" t="str">
        <f>HYPERLINK("http://141.218.60.56/~jnz1568/getInfo.php?workbook=10_02.xlsx&amp;sheet=A0&amp;row=518&amp;col=7&amp;number=&amp;sourceID=32","")</f>
        <v/>
      </c>
      <c r="H518" s="4" t="str">
        <f>HYPERLINK("http://141.218.60.56/~jnz1568/getInfo.php?workbook=10_02.xlsx&amp;sheet=A0&amp;row=518&amp;col=8&amp;number=86950&amp;sourceID=32","86950")</f>
        <v>86950</v>
      </c>
      <c r="I518" s="4" t="str">
        <f>HYPERLINK("http://141.218.60.56/~jnz1568/getInfo.php?workbook=10_02.xlsx&amp;sheet=A0&amp;row=518&amp;col=9&amp;number=0.005666&amp;sourceID=32","0.005666")</f>
        <v>0.005666</v>
      </c>
      <c r="J518" s="4" t="str">
        <f>HYPERLINK("http://141.218.60.56/~jnz1568/getInfo.php?workbook=10_02.xlsx&amp;sheet=A0&amp;row=518&amp;col=10&amp;number=&amp;sourceID=32","")</f>
        <v/>
      </c>
      <c r="K518" s="4" t="str">
        <f>HYPERLINK("http://141.218.60.56/~jnz1568/getInfo.php?workbook=10_02.xlsx&amp;sheet=A0&amp;row=518&amp;col=11&amp;number=86721&amp;sourceID=46","86721")</f>
        <v>86721</v>
      </c>
      <c r="L518" s="4" t="str">
        <f>HYPERLINK("http://141.218.60.56/~jnz1568/getInfo.php?workbook=10_02.xlsx&amp;sheet=A0&amp;row=518&amp;col=12&amp;number=&amp;sourceID=47","")</f>
        <v/>
      </c>
    </row>
    <row r="519" spans="1:12">
      <c r="A519" s="3">
        <v>10</v>
      </c>
      <c r="B519" s="3">
        <v>2</v>
      </c>
      <c r="C519" s="3">
        <v>36</v>
      </c>
      <c r="D519" s="3">
        <v>23</v>
      </c>
      <c r="E519" s="3">
        <f>((1/(INDEX(E0!J$4:J$52,C519,1)-INDEX(E0!J$4:J$52,D519,1))))*100000000</f>
        <v>0</v>
      </c>
      <c r="F519" s="4" t="str">
        <f>HYPERLINK("http://141.218.60.56/~jnz1568/getInfo.php?workbook=10_02.xlsx&amp;sheet=A0&amp;row=519&amp;col=6&amp;number=&amp;sourceID=27","")</f>
        <v/>
      </c>
      <c r="G519" s="4" t="str">
        <f>HYPERLINK("http://141.218.60.56/~jnz1568/getInfo.php?workbook=10_02.xlsx&amp;sheet=A0&amp;row=519&amp;col=7&amp;number=14480000&amp;sourceID=32","14480000")</f>
        <v>14480000</v>
      </c>
      <c r="H519" s="4" t="str">
        <f>HYPERLINK("http://141.218.60.56/~jnz1568/getInfo.php?workbook=10_02.xlsx&amp;sheet=A0&amp;row=519&amp;col=8&amp;number=&amp;sourceID=32","")</f>
        <v/>
      </c>
      <c r="I519" s="4" t="str">
        <f>HYPERLINK("http://141.218.60.56/~jnz1568/getInfo.php?workbook=10_02.xlsx&amp;sheet=A0&amp;row=519&amp;col=9&amp;number=&amp;sourceID=32","")</f>
        <v/>
      </c>
      <c r="J519" s="4" t="str">
        <f>HYPERLINK("http://141.218.60.56/~jnz1568/getInfo.php?workbook=10_02.xlsx&amp;sheet=A0&amp;row=519&amp;col=10&amp;number=6.832e-08&amp;sourceID=32","6.832e-08")</f>
        <v>6.832e-08</v>
      </c>
      <c r="K519" s="4" t="str">
        <f>HYPERLINK("http://141.218.60.56/~jnz1568/getInfo.php?workbook=10_02.xlsx&amp;sheet=A0&amp;row=519&amp;col=11&amp;number=14541000&amp;sourceID=46","14541000")</f>
        <v>14541000</v>
      </c>
      <c r="L519" s="4" t="str">
        <f>HYPERLINK("http://141.218.60.56/~jnz1568/getInfo.php?workbook=10_02.xlsx&amp;sheet=A0&amp;row=519&amp;col=12&amp;number=&amp;sourceID=47","")</f>
        <v/>
      </c>
    </row>
    <row r="520" spans="1:12">
      <c r="A520" s="3">
        <v>10</v>
      </c>
      <c r="B520" s="3">
        <v>2</v>
      </c>
      <c r="C520" s="3">
        <v>36</v>
      </c>
      <c r="D520" s="3">
        <v>24</v>
      </c>
      <c r="E520" s="3">
        <f>((1/(INDEX(E0!J$4:J$52,C520,1)-INDEX(E0!J$4:J$52,D520,1))))*100000000</f>
        <v>0</v>
      </c>
      <c r="F520" s="4" t="str">
        <f>HYPERLINK("http://141.218.60.56/~jnz1568/getInfo.php?workbook=10_02.xlsx&amp;sheet=A0&amp;row=520&amp;col=6&amp;number=&amp;sourceID=27","")</f>
        <v/>
      </c>
      <c r="G520" s="4" t="str">
        <f>HYPERLINK("http://141.218.60.56/~jnz1568/getInfo.php?workbook=10_02.xlsx&amp;sheet=A0&amp;row=520&amp;col=7&amp;number=212500000&amp;sourceID=32","212500000")</f>
        <v>212500000</v>
      </c>
      <c r="H520" s="4" t="str">
        <f>HYPERLINK("http://141.218.60.56/~jnz1568/getInfo.php?workbook=10_02.xlsx&amp;sheet=A0&amp;row=520&amp;col=8&amp;number=&amp;sourceID=32","")</f>
        <v/>
      </c>
      <c r="I520" s="4" t="str">
        <f>HYPERLINK("http://141.218.60.56/~jnz1568/getInfo.php?workbook=10_02.xlsx&amp;sheet=A0&amp;row=520&amp;col=9&amp;number=&amp;sourceID=32","")</f>
        <v/>
      </c>
      <c r="J520" s="4" t="str">
        <f>HYPERLINK("http://141.218.60.56/~jnz1568/getInfo.php?workbook=10_02.xlsx&amp;sheet=A0&amp;row=520&amp;col=10&amp;number=0.03588&amp;sourceID=32","0.03588")</f>
        <v>0.03588</v>
      </c>
      <c r="K520" s="4" t="str">
        <f>HYPERLINK("http://141.218.60.56/~jnz1568/getInfo.php?workbook=10_02.xlsx&amp;sheet=A0&amp;row=520&amp;col=11&amp;number=214870000&amp;sourceID=46","214870000")</f>
        <v>214870000</v>
      </c>
      <c r="L520" s="4" t="str">
        <f>HYPERLINK("http://141.218.60.56/~jnz1568/getInfo.php?workbook=10_02.xlsx&amp;sheet=A0&amp;row=520&amp;col=12&amp;number=&amp;sourceID=47","")</f>
        <v/>
      </c>
    </row>
    <row r="521" spans="1:12">
      <c r="A521" s="3">
        <v>10</v>
      </c>
      <c r="B521" s="3">
        <v>2</v>
      </c>
      <c r="C521" s="3">
        <v>36</v>
      </c>
      <c r="D521" s="3">
        <v>25</v>
      </c>
      <c r="E521" s="3">
        <f>((1/(INDEX(E0!J$4:J$52,C521,1)-INDEX(E0!J$4:J$52,D521,1))))*100000000</f>
        <v>0</v>
      </c>
      <c r="F521" s="4" t="str">
        <f>HYPERLINK("http://141.218.60.56/~jnz1568/getInfo.php?workbook=10_02.xlsx&amp;sheet=A0&amp;row=521&amp;col=6&amp;number=&amp;sourceID=27","")</f>
        <v/>
      </c>
      <c r="G521" s="4" t="str">
        <f>HYPERLINK("http://141.218.60.56/~jnz1568/getInfo.php?workbook=10_02.xlsx&amp;sheet=A0&amp;row=521&amp;col=7&amp;number=1227000000&amp;sourceID=32","1227000000")</f>
        <v>1227000000</v>
      </c>
      <c r="H521" s="4" t="str">
        <f>HYPERLINK("http://141.218.60.56/~jnz1568/getInfo.php?workbook=10_02.xlsx&amp;sheet=A0&amp;row=521&amp;col=8&amp;number=&amp;sourceID=32","")</f>
        <v/>
      </c>
      <c r="I521" s="4" t="str">
        <f>HYPERLINK("http://141.218.60.56/~jnz1568/getInfo.php?workbook=10_02.xlsx&amp;sheet=A0&amp;row=521&amp;col=9&amp;number=&amp;sourceID=32","")</f>
        <v/>
      </c>
      <c r="J521" s="4" t="str">
        <f>HYPERLINK("http://141.218.60.56/~jnz1568/getInfo.php?workbook=10_02.xlsx&amp;sheet=A0&amp;row=521&amp;col=10&amp;number=0.5882&amp;sourceID=32","0.5882")</f>
        <v>0.5882</v>
      </c>
      <c r="K521" s="4" t="str">
        <f>HYPERLINK("http://141.218.60.56/~jnz1568/getInfo.php?workbook=10_02.xlsx&amp;sheet=A0&amp;row=521&amp;col=11&amp;number=1227500000&amp;sourceID=46","1227500000")</f>
        <v>1227500000</v>
      </c>
      <c r="L521" s="4" t="str">
        <f>HYPERLINK("http://141.218.60.56/~jnz1568/getInfo.php?workbook=10_02.xlsx&amp;sheet=A0&amp;row=521&amp;col=12&amp;number=&amp;sourceID=47","")</f>
        <v/>
      </c>
    </row>
    <row r="522" spans="1:12">
      <c r="A522" s="3">
        <v>10</v>
      </c>
      <c r="B522" s="3">
        <v>2</v>
      </c>
      <c r="C522" s="3">
        <v>36</v>
      </c>
      <c r="D522" s="3">
        <v>26</v>
      </c>
      <c r="E522" s="3">
        <f>((1/(INDEX(E0!J$4:J$52,C522,1)-INDEX(E0!J$4:J$52,D522,1))))*100000000</f>
        <v>0</v>
      </c>
      <c r="F522" s="4" t="str">
        <f>HYPERLINK("http://141.218.60.56/~jnz1568/getInfo.php?workbook=10_02.xlsx&amp;sheet=A0&amp;row=522&amp;col=6&amp;number=&amp;sourceID=27","")</f>
        <v/>
      </c>
      <c r="G522" s="4" t="str">
        <f>HYPERLINK("http://141.218.60.56/~jnz1568/getInfo.php?workbook=10_02.xlsx&amp;sheet=A0&amp;row=522&amp;col=7&amp;number=&amp;sourceID=32","")</f>
        <v/>
      </c>
      <c r="H522" s="4" t="str">
        <f>HYPERLINK("http://141.218.60.56/~jnz1568/getInfo.php?workbook=10_02.xlsx&amp;sheet=A0&amp;row=522&amp;col=8&amp;number=3131&amp;sourceID=32","3131")</f>
        <v>3131</v>
      </c>
      <c r="I522" s="4" t="str">
        <f>HYPERLINK("http://141.218.60.56/~jnz1568/getInfo.php?workbook=10_02.xlsx&amp;sheet=A0&amp;row=522&amp;col=9&amp;number=3.656e-08&amp;sourceID=32","3.656e-08")</f>
        <v>3.656e-08</v>
      </c>
      <c r="J522" s="4" t="str">
        <f>HYPERLINK("http://141.218.60.56/~jnz1568/getInfo.php?workbook=10_02.xlsx&amp;sheet=A0&amp;row=522&amp;col=10&amp;number=&amp;sourceID=32","")</f>
        <v/>
      </c>
      <c r="K522" s="4" t="str">
        <f>HYPERLINK("http://141.218.60.56/~jnz1568/getInfo.php?workbook=10_02.xlsx&amp;sheet=A0&amp;row=522&amp;col=11&amp;number=3206.6&amp;sourceID=46","3206.6")</f>
        <v>3206.6</v>
      </c>
      <c r="L522" s="4" t="str">
        <f>HYPERLINK("http://141.218.60.56/~jnz1568/getInfo.php?workbook=10_02.xlsx&amp;sheet=A0&amp;row=522&amp;col=12&amp;number=&amp;sourceID=47","")</f>
        <v/>
      </c>
    </row>
    <row r="523" spans="1:12">
      <c r="A523" s="3">
        <v>10</v>
      </c>
      <c r="B523" s="3">
        <v>2</v>
      </c>
      <c r="C523" s="3">
        <v>36</v>
      </c>
      <c r="D523" s="3">
        <v>27</v>
      </c>
      <c r="E523" s="3">
        <f>((1/(INDEX(E0!J$4:J$52,C523,1)-INDEX(E0!J$4:J$52,D523,1))))*100000000</f>
        <v>0</v>
      </c>
      <c r="F523" s="4" t="str">
        <f>HYPERLINK("http://141.218.60.56/~jnz1568/getInfo.php?workbook=10_02.xlsx&amp;sheet=A0&amp;row=523&amp;col=6&amp;number=&amp;sourceID=27","")</f>
        <v/>
      </c>
      <c r="G523" s="4" t="str">
        <f>HYPERLINK("http://141.218.60.56/~jnz1568/getInfo.php?workbook=10_02.xlsx&amp;sheet=A0&amp;row=523&amp;col=7&amp;number=&amp;sourceID=32","")</f>
        <v/>
      </c>
      <c r="H523" s="4" t="str">
        <f>HYPERLINK("http://141.218.60.56/~jnz1568/getInfo.php?workbook=10_02.xlsx&amp;sheet=A0&amp;row=523&amp;col=8&amp;number=759.3&amp;sourceID=32","759.3")</f>
        <v>759.3</v>
      </c>
      <c r="I523" s="4" t="str">
        <f>HYPERLINK("http://141.218.60.56/~jnz1568/getInfo.php?workbook=10_02.xlsx&amp;sheet=A0&amp;row=523&amp;col=9&amp;number=9.493e-07&amp;sourceID=32","9.493e-07")</f>
        <v>9.493e-07</v>
      </c>
      <c r="J523" s="4" t="str">
        <f>HYPERLINK("http://141.218.60.56/~jnz1568/getInfo.php?workbook=10_02.xlsx&amp;sheet=A0&amp;row=523&amp;col=10&amp;number=&amp;sourceID=32","")</f>
        <v/>
      </c>
      <c r="K523" s="4" t="str">
        <f>HYPERLINK("http://141.218.60.56/~jnz1568/getInfo.php?workbook=10_02.xlsx&amp;sheet=A0&amp;row=523&amp;col=11&amp;number=760.54&amp;sourceID=46","760.54")</f>
        <v>760.54</v>
      </c>
      <c r="L523" s="4" t="str">
        <f>HYPERLINK("http://141.218.60.56/~jnz1568/getInfo.php?workbook=10_02.xlsx&amp;sheet=A0&amp;row=523&amp;col=12&amp;number=&amp;sourceID=47","")</f>
        <v/>
      </c>
    </row>
    <row r="524" spans="1:12">
      <c r="A524" s="3">
        <v>10</v>
      </c>
      <c r="B524" s="3">
        <v>2</v>
      </c>
      <c r="C524" s="3">
        <v>36</v>
      </c>
      <c r="D524" s="3">
        <v>28</v>
      </c>
      <c r="E524" s="3">
        <f>((1/(INDEX(E0!J$4:J$52,C524,1)-INDEX(E0!J$4:J$52,D524,1))))*100000000</f>
        <v>0</v>
      </c>
      <c r="F524" s="4" t="str">
        <f>HYPERLINK("http://141.218.60.56/~jnz1568/getInfo.php?workbook=10_02.xlsx&amp;sheet=A0&amp;row=524&amp;col=6&amp;number=&amp;sourceID=27","")</f>
        <v/>
      </c>
      <c r="G524" s="4" t="str">
        <f>HYPERLINK("http://141.218.60.56/~jnz1568/getInfo.php?workbook=10_02.xlsx&amp;sheet=A0&amp;row=524&amp;col=7&amp;number=&amp;sourceID=32","")</f>
        <v/>
      </c>
      <c r="H524" s="4" t="str">
        <f>HYPERLINK("http://141.218.60.56/~jnz1568/getInfo.php?workbook=10_02.xlsx&amp;sheet=A0&amp;row=524&amp;col=8&amp;number=&amp;sourceID=32","")</f>
        <v/>
      </c>
      <c r="I524" s="4" t="str">
        <f>HYPERLINK("http://141.218.60.56/~jnz1568/getInfo.php?workbook=10_02.xlsx&amp;sheet=A0&amp;row=524&amp;col=9&amp;number=&amp;sourceID=32","")</f>
        <v/>
      </c>
      <c r="J524" s="4" t="str">
        <f>HYPERLINK("http://141.218.60.56/~jnz1568/getInfo.php?workbook=10_02.xlsx&amp;sheet=A0&amp;row=524&amp;col=10&amp;number=&amp;sourceID=32","")</f>
        <v/>
      </c>
      <c r="K524" s="4" t="str">
        <f>HYPERLINK("http://141.218.60.56/~jnz1568/getInfo.php?workbook=10_02.xlsx&amp;sheet=A0&amp;row=524&amp;col=11&amp;number=20522&amp;sourceID=46","20522")</f>
        <v>20522</v>
      </c>
      <c r="L524" s="4" t="str">
        <f>HYPERLINK("http://141.218.60.56/~jnz1568/getInfo.php?workbook=10_02.xlsx&amp;sheet=A0&amp;row=524&amp;col=12&amp;number=&amp;sourceID=47","")</f>
        <v/>
      </c>
    </row>
    <row r="525" spans="1:12">
      <c r="A525" s="3">
        <v>10</v>
      </c>
      <c r="B525" s="3">
        <v>2</v>
      </c>
      <c r="C525" s="3">
        <v>36</v>
      </c>
      <c r="D525" s="3">
        <v>29</v>
      </c>
      <c r="E525" s="3">
        <f>((1/(INDEX(E0!J$4:J$52,C525,1)-INDEX(E0!J$4:J$52,D525,1))))*100000000</f>
        <v>0</v>
      </c>
      <c r="F525" s="4" t="str">
        <f>HYPERLINK("http://141.218.60.56/~jnz1568/getInfo.php?workbook=10_02.xlsx&amp;sheet=A0&amp;row=525&amp;col=6&amp;number=&amp;sourceID=27","")</f>
        <v/>
      </c>
      <c r="G525" s="4" t="str">
        <f>HYPERLINK("http://141.218.60.56/~jnz1568/getInfo.php?workbook=10_02.xlsx&amp;sheet=A0&amp;row=525&amp;col=7&amp;number=6141000&amp;sourceID=32","6141000")</f>
        <v>6141000</v>
      </c>
      <c r="H525" s="4" t="str">
        <f>HYPERLINK("http://141.218.60.56/~jnz1568/getInfo.php?workbook=10_02.xlsx&amp;sheet=A0&amp;row=525&amp;col=8&amp;number=&amp;sourceID=32","")</f>
        <v/>
      </c>
      <c r="I525" s="4" t="str">
        <f>HYPERLINK("http://141.218.60.56/~jnz1568/getInfo.php?workbook=10_02.xlsx&amp;sheet=A0&amp;row=525&amp;col=9&amp;number=&amp;sourceID=32","")</f>
        <v/>
      </c>
      <c r="J525" s="4" t="str">
        <f>HYPERLINK("http://141.218.60.56/~jnz1568/getInfo.php?workbook=10_02.xlsx&amp;sheet=A0&amp;row=525&amp;col=10&amp;number=0.1118&amp;sourceID=32","0.1118")</f>
        <v>0.1118</v>
      </c>
      <c r="K525" s="4" t="str">
        <f>HYPERLINK("http://141.218.60.56/~jnz1568/getInfo.php?workbook=10_02.xlsx&amp;sheet=A0&amp;row=525&amp;col=11&amp;number=3882700&amp;sourceID=46","3882700")</f>
        <v>3882700</v>
      </c>
      <c r="L525" s="4" t="str">
        <f>HYPERLINK("http://141.218.60.56/~jnz1568/getInfo.php?workbook=10_02.xlsx&amp;sheet=A0&amp;row=525&amp;col=12&amp;number=&amp;sourceID=47","")</f>
        <v/>
      </c>
    </row>
    <row r="526" spans="1:12">
      <c r="A526" s="3">
        <v>10</v>
      </c>
      <c r="B526" s="3">
        <v>2</v>
      </c>
      <c r="C526" s="3">
        <v>36</v>
      </c>
      <c r="D526" s="3">
        <v>30</v>
      </c>
      <c r="E526" s="3">
        <f>((1/(INDEX(E0!J$4:J$52,C526,1)-INDEX(E0!J$4:J$52,D526,1))))*100000000</f>
        <v>0</v>
      </c>
      <c r="F526" s="4" t="str">
        <f>HYPERLINK("http://141.218.60.56/~jnz1568/getInfo.php?workbook=10_02.xlsx&amp;sheet=A0&amp;row=526&amp;col=6&amp;number=&amp;sourceID=27","")</f>
        <v/>
      </c>
      <c r="G526" s="4" t="str">
        <f>HYPERLINK("http://141.218.60.56/~jnz1568/getInfo.php?workbook=10_02.xlsx&amp;sheet=A0&amp;row=526&amp;col=7&amp;number=&amp;sourceID=32","")</f>
        <v/>
      </c>
      <c r="H526" s="4" t="str">
        <f>HYPERLINK("http://141.218.60.56/~jnz1568/getInfo.php?workbook=10_02.xlsx&amp;sheet=A0&amp;row=526&amp;col=8&amp;number=2183&amp;sourceID=32","2183")</f>
        <v>2183</v>
      </c>
      <c r="I526" s="4" t="str">
        <f>HYPERLINK("http://141.218.60.56/~jnz1568/getInfo.php?workbook=10_02.xlsx&amp;sheet=A0&amp;row=526&amp;col=9&amp;number=9.596e-08&amp;sourceID=32","9.596e-08")</f>
        <v>9.596e-08</v>
      </c>
      <c r="J526" s="4" t="str">
        <f>HYPERLINK("http://141.218.60.56/~jnz1568/getInfo.php?workbook=10_02.xlsx&amp;sheet=A0&amp;row=526&amp;col=10&amp;number=&amp;sourceID=32","")</f>
        <v/>
      </c>
      <c r="K526" s="4" t="str">
        <f>HYPERLINK("http://141.218.60.56/~jnz1568/getInfo.php?workbook=10_02.xlsx&amp;sheet=A0&amp;row=526&amp;col=11&amp;number=2110.4&amp;sourceID=46","2110.4")</f>
        <v>2110.4</v>
      </c>
      <c r="L526" s="4" t="str">
        <f>HYPERLINK("http://141.218.60.56/~jnz1568/getInfo.php?workbook=10_02.xlsx&amp;sheet=A0&amp;row=526&amp;col=12&amp;number=&amp;sourceID=47","")</f>
        <v/>
      </c>
    </row>
    <row r="527" spans="1:12">
      <c r="A527" s="3">
        <v>10</v>
      </c>
      <c r="B527" s="3">
        <v>2</v>
      </c>
      <c r="C527" s="3">
        <v>36</v>
      </c>
      <c r="D527" s="3">
        <v>31</v>
      </c>
      <c r="E527" s="3">
        <f>((1/(INDEX(E0!J$4:J$52,C527,1)-INDEX(E0!J$4:J$52,D527,1))))*100000000</f>
        <v>0</v>
      </c>
      <c r="F527" s="4" t="str">
        <f>HYPERLINK("http://141.218.60.56/~jnz1568/getInfo.php?workbook=10_02.xlsx&amp;sheet=A0&amp;row=527&amp;col=6&amp;number=&amp;sourceID=27","")</f>
        <v/>
      </c>
      <c r="G527" s="4" t="str">
        <f>HYPERLINK("http://141.218.60.56/~jnz1568/getInfo.php?workbook=10_02.xlsx&amp;sheet=A0&amp;row=527&amp;col=7&amp;number=&amp;sourceID=32","")</f>
        <v/>
      </c>
      <c r="H527" s="4" t="str">
        <f>HYPERLINK("http://141.218.60.56/~jnz1568/getInfo.php?workbook=10_02.xlsx&amp;sheet=A0&amp;row=527&amp;col=8&amp;number=73.57&amp;sourceID=32","73.57")</f>
        <v>73.57</v>
      </c>
      <c r="I527" s="4" t="str">
        <f>HYPERLINK("http://141.218.60.56/~jnz1568/getInfo.php?workbook=10_02.xlsx&amp;sheet=A0&amp;row=527&amp;col=9&amp;number=0.02145&amp;sourceID=32","0.02145")</f>
        <v>0.02145</v>
      </c>
      <c r="J527" s="4" t="str">
        <f>HYPERLINK("http://141.218.60.56/~jnz1568/getInfo.php?workbook=10_02.xlsx&amp;sheet=A0&amp;row=527&amp;col=10&amp;number=&amp;sourceID=32","")</f>
        <v/>
      </c>
      <c r="K527" s="4" t="str">
        <f>HYPERLINK("http://141.218.60.56/~jnz1568/getInfo.php?workbook=10_02.xlsx&amp;sheet=A0&amp;row=527&amp;col=11&amp;number=48.404&amp;sourceID=46","48.404")</f>
        <v>48.404</v>
      </c>
      <c r="L527" s="4" t="str">
        <f>HYPERLINK("http://141.218.60.56/~jnz1568/getInfo.php?workbook=10_02.xlsx&amp;sheet=A0&amp;row=527&amp;col=12&amp;number=&amp;sourceID=47","")</f>
        <v/>
      </c>
    </row>
    <row r="528" spans="1:12">
      <c r="A528" s="3">
        <v>10</v>
      </c>
      <c r="B528" s="3">
        <v>2</v>
      </c>
      <c r="C528" s="3">
        <v>36</v>
      </c>
      <c r="D528" s="3">
        <v>32</v>
      </c>
      <c r="E528" s="3">
        <f>((1/(INDEX(E0!J$4:J$52,C528,1)-INDEX(E0!J$4:J$52,D528,1))))*100000000</f>
        <v>0</v>
      </c>
      <c r="F528" s="4" t="str">
        <f>HYPERLINK("http://141.218.60.56/~jnz1568/getInfo.php?workbook=10_02.xlsx&amp;sheet=A0&amp;row=528&amp;col=6&amp;number=&amp;sourceID=27","")</f>
        <v/>
      </c>
      <c r="G528" s="4" t="str">
        <f>HYPERLINK("http://141.218.60.56/~jnz1568/getInfo.php?workbook=10_02.xlsx&amp;sheet=A0&amp;row=528&amp;col=7&amp;number=1052000&amp;sourceID=32","1052000")</f>
        <v>1052000</v>
      </c>
      <c r="H528" s="4" t="str">
        <f>HYPERLINK("http://141.218.60.56/~jnz1568/getInfo.php?workbook=10_02.xlsx&amp;sheet=A0&amp;row=528&amp;col=8&amp;number=&amp;sourceID=32","")</f>
        <v/>
      </c>
      <c r="I528" s="4" t="str">
        <f>HYPERLINK("http://141.218.60.56/~jnz1568/getInfo.php?workbook=10_02.xlsx&amp;sheet=A0&amp;row=528&amp;col=9&amp;number=&amp;sourceID=32","")</f>
        <v/>
      </c>
      <c r="J528" s="4" t="str">
        <f>HYPERLINK("http://141.218.60.56/~jnz1568/getInfo.php?workbook=10_02.xlsx&amp;sheet=A0&amp;row=528&amp;col=10&amp;number=1.454e-07&amp;sourceID=32","1.454e-07")</f>
        <v>1.454e-07</v>
      </c>
      <c r="K528" s="4" t="str">
        <f>HYPERLINK("http://141.218.60.56/~jnz1568/getInfo.php?workbook=10_02.xlsx&amp;sheet=A0&amp;row=528&amp;col=11&amp;number=1011200&amp;sourceID=46","1011200")</f>
        <v>1011200</v>
      </c>
      <c r="L528" s="4" t="str">
        <f>HYPERLINK("http://141.218.60.56/~jnz1568/getInfo.php?workbook=10_02.xlsx&amp;sheet=A0&amp;row=528&amp;col=12&amp;number=&amp;sourceID=47","")</f>
        <v/>
      </c>
    </row>
    <row r="529" spans="1:12">
      <c r="A529" s="3">
        <v>10</v>
      </c>
      <c r="B529" s="3">
        <v>2</v>
      </c>
      <c r="C529" s="3">
        <v>36</v>
      </c>
      <c r="D529" s="3">
        <v>33</v>
      </c>
      <c r="E529" s="3">
        <f>((1/(INDEX(E0!J$4:J$52,C529,1)-INDEX(E0!J$4:J$52,D529,1))))*100000000</f>
        <v>0</v>
      </c>
      <c r="F529" s="4" t="str">
        <f>HYPERLINK("http://141.218.60.56/~jnz1568/getInfo.php?workbook=10_02.xlsx&amp;sheet=A0&amp;row=529&amp;col=6&amp;number=&amp;sourceID=27","")</f>
        <v/>
      </c>
      <c r="G529" s="4" t="str">
        <f>HYPERLINK("http://141.218.60.56/~jnz1568/getInfo.php?workbook=10_02.xlsx&amp;sheet=A0&amp;row=529&amp;col=7&amp;number=&amp;sourceID=32","")</f>
        <v/>
      </c>
      <c r="H529" s="4" t="str">
        <f>HYPERLINK("http://141.218.60.56/~jnz1568/getInfo.php?workbook=10_02.xlsx&amp;sheet=A0&amp;row=529&amp;col=8&amp;number=1.17e-10&amp;sourceID=32","1.17e-10")</f>
        <v>1.17e-10</v>
      </c>
      <c r="I529" s="4" t="str">
        <f>HYPERLINK("http://141.218.60.56/~jnz1568/getInfo.php?workbook=10_02.xlsx&amp;sheet=A0&amp;row=529&amp;col=9&amp;number=&amp;sourceID=32","")</f>
        <v/>
      </c>
      <c r="J529" s="4" t="str">
        <f>HYPERLINK("http://141.218.60.56/~jnz1568/getInfo.php?workbook=10_02.xlsx&amp;sheet=A0&amp;row=529&amp;col=10&amp;number=&amp;sourceID=32","")</f>
        <v/>
      </c>
      <c r="K529" s="4" t="str">
        <f>HYPERLINK("http://141.218.60.56/~jnz1568/getInfo.php?workbook=10_02.xlsx&amp;sheet=A0&amp;row=529&amp;col=11&amp;number=&amp;sourceID=46","")</f>
        <v/>
      </c>
      <c r="L529" s="4" t="str">
        <f>HYPERLINK("http://141.218.60.56/~jnz1568/getInfo.php?workbook=10_02.xlsx&amp;sheet=A0&amp;row=529&amp;col=12&amp;number=&amp;sourceID=47","")</f>
        <v/>
      </c>
    </row>
    <row r="530" spans="1:12">
      <c r="A530" s="3">
        <v>10</v>
      </c>
      <c r="B530" s="3">
        <v>2</v>
      </c>
      <c r="C530" s="3">
        <v>36</v>
      </c>
      <c r="D530" s="3">
        <v>34</v>
      </c>
      <c r="E530" s="3">
        <f>((1/(INDEX(E0!J$4:J$52,C530,1)-INDEX(E0!J$4:J$52,D530,1))))*100000000</f>
        <v>0</v>
      </c>
      <c r="F530" s="4" t="str">
        <f>HYPERLINK("http://141.218.60.56/~jnz1568/getInfo.php?workbook=10_02.xlsx&amp;sheet=A0&amp;row=530&amp;col=6&amp;number=&amp;sourceID=27","")</f>
        <v/>
      </c>
      <c r="G530" s="4" t="str">
        <f>HYPERLINK("http://141.218.60.56/~jnz1568/getInfo.php?workbook=10_02.xlsx&amp;sheet=A0&amp;row=530&amp;col=7&amp;number=&amp;sourceID=32","")</f>
        <v/>
      </c>
      <c r="H530" s="4" t="str">
        <f>HYPERLINK("http://141.218.60.56/~jnz1568/getInfo.php?workbook=10_02.xlsx&amp;sheet=A0&amp;row=530&amp;col=8&amp;number=&amp;sourceID=32","")</f>
        <v/>
      </c>
      <c r="I530" s="4" t="str">
        <f>HYPERLINK("http://141.218.60.56/~jnz1568/getInfo.php?workbook=10_02.xlsx&amp;sheet=A0&amp;row=530&amp;col=9&amp;number=&amp;sourceID=32","")</f>
        <v/>
      </c>
      <c r="J530" s="4" t="str">
        <f>HYPERLINK("http://141.218.60.56/~jnz1568/getInfo.php?workbook=10_02.xlsx&amp;sheet=A0&amp;row=530&amp;col=10&amp;number=1e-15&amp;sourceID=32","1e-15")</f>
        <v>1e-15</v>
      </c>
      <c r="K530" s="4" t="str">
        <f>HYPERLINK("http://141.218.60.56/~jnz1568/getInfo.php?workbook=10_02.xlsx&amp;sheet=A0&amp;row=530&amp;col=11&amp;number=&amp;sourceID=46","")</f>
        <v/>
      </c>
      <c r="L530" s="4" t="str">
        <f>HYPERLINK("http://141.218.60.56/~jnz1568/getInfo.php?workbook=10_02.xlsx&amp;sheet=A0&amp;row=530&amp;col=12&amp;number=&amp;sourceID=47","")</f>
        <v/>
      </c>
    </row>
    <row r="531" spans="1:12">
      <c r="A531" s="3">
        <v>10</v>
      </c>
      <c r="B531" s="3">
        <v>2</v>
      </c>
      <c r="C531" s="3">
        <v>36</v>
      </c>
      <c r="D531" s="3">
        <v>35</v>
      </c>
      <c r="E531" s="3">
        <f>((1/(INDEX(E0!J$4:J$52,C531,1)-INDEX(E0!J$4:J$52,D531,1))))*100000000</f>
        <v>0</v>
      </c>
      <c r="F531" s="4" t="str">
        <f>HYPERLINK("http://141.218.60.56/~jnz1568/getInfo.php?workbook=10_02.xlsx&amp;sheet=A0&amp;row=531&amp;col=6&amp;number=&amp;sourceID=27","")</f>
        <v/>
      </c>
      <c r="G531" s="4" t="str">
        <f>HYPERLINK("http://141.218.60.56/~jnz1568/getInfo.php?workbook=10_02.xlsx&amp;sheet=A0&amp;row=531&amp;col=7&amp;number=&amp;sourceID=32","")</f>
        <v/>
      </c>
      <c r="H531" s="4" t="str">
        <f>HYPERLINK("http://141.218.60.56/~jnz1568/getInfo.php?workbook=10_02.xlsx&amp;sheet=A0&amp;row=531&amp;col=8&amp;number=8.869e-11&amp;sourceID=32","8.869e-11")</f>
        <v>8.869e-11</v>
      </c>
      <c r="I531" s="4" t="str">
        <f>HYPERLINK("http://141.218.60.56/~jnz1568/getInfo.php?workbook=10_02.xlsx&amp;sheet=A0&amp;row=531&amp;col=9&amp;number=1.59e-05&amp;sourceID=32","1.59e-05")</f>
        <v>1.59e-05</v>
      </c>
      <c r="J531" s="4" t="str">
        <f>HYPERLINK("http://141.218.60.56/~jnz1568/getInfo.php?workbook=10_02.xlsx&amp;sheet=A0&amp;row=531&amp;col=10&amp;number=&amp;sourceID=32","")</f>
        <v/>
      </c>
      <c r="K531" s="4" t="str">
        <f>HYPERLINK("http://141.218.60.56/~jnz1568/getInfo.php?workbook=10_02.xlsx&amp;sheet=A0&amp;row=531&amp;col=11&amp;number=&amp;sourceID=46","")</f>
        <v/>
      </c>
      <c r="L531" s="4" t="str">
        <f>HYPERLINK("http://141.218.60.56/~jnz1568/getInfo.php?workbook=10_02.xlsx&amp;sheet=A0&amp;row=531&amp;col=12&amp;number=&amp;sourceID=47","")</f>
        <v/>
      </c>
    </row>
    <row r="532" spans="1:12">
      <c r="A532" s="3">
        <v>10</v>
      </c>
      <c r="B532" s="3">
        <v>2</v>
      </c>
      <c r="C532" s="3">
        <v>37</v>
      </c>
      <c r="D532" s="3">
        <v>1</v>
      </c>
      <c r="E532" s="3">
        <f>((1/(INDEX(E0!J$4:J$52,C532,1)-INDEX(E0!J$4:J$52,D532,1))))*100000000</f>
        <v>0</v>
      </c>
      <c r="F532" s="4" t="str">
        <f>HYPERLINK("http://141.218.60.56/~jnz1568/getInfo.php?workbook=10_02.xlsx&amp;sheet=A0&amp;row=532&amp;col=6&amp;number=&amp;sourceID=27","")</f>
        <v/>
      </c>
      <c r="G532" s="4" t="str">
        <f>HYPERLINK("http://141.218.60.56/~jnz1568/getInfo.php?workbook=10_02.xlsx&amp;sheet=A0&amp;row=532&amp;col=7&amp;number=&amp;sourceID=32","")</f>
        <v/>
      </c>
      <c r="H532" s="4" t="str">
        <f>HYPERLINK("http://141.218.60.56/~jnz1568/getInfo.php?workbook=10_02.xlsx&amp;sheet=A0&amp;row=532&amp;col=8&amp;number=&amp;sourceID=32","")</f>
        <v/>
      </c>
      <c r="I532" s="4" t="str">
        <f>HYPERLINK("http://141.218.60.56/~jnz1568/getInfo.php?workbook=10_02.xlsx&amp;sheet=A0&amp;row=532&amp;col=9&amp;number=17.57&amp;sourceID=32","17.57")</f>
        <v>17.57</v>
      </c>
      <c r="J532" s="4" t="str">
        <f>HYPERLINK("http://141.218.60.56/~jnz1568/getInfo.php?workbook=10_02.xlsx&amp;sheet=A0&amp;row=532&amp;col=10&amp;number=&amp;sourceID=32","")</f>
        <v/>
      </c>
      <c r="K532" s="4" t="str">
        <f>HYPERLINK("http://141.218.60.56/~jnz1568/getInfo.php?workbook=10_02.xlsx&amp;sheet=A0&amp;row=532&amp;col=11&amp;number=14.367&amp;sourceID=46","14.367")</f>
        <v>14.367</v>
      </c>
      <c r="L532" s="4" t="str">
        <f>HYPERLINK("http://141.218.60.56/~jnz1568/getInfo.php?workbook=10_02.xlsx&amp;sheet=A0&amp;row=532&amp;col=12&amp;number=&amp;sourceID=47","")</f>
        <v/>
      </c>
    </row>
    <row r="533" spans="1:12">
      <c r="A533" s="3">
        <v>10</v>
      </c>
      <c r="B533" s="3">
        <v>2</v>
      </c>
      <c r="C533" s="3">
        <v>37</v>
      </c>
      <c r="D533" s="3">
        <v>2</v>
      </c>
      <c r="E533" s="3">
        <f>((1/(INDEX(E0!J$4:J$52,C533,1)-INDEX(E0!J$4:J$52,D533,1))))*100000000</f>
        <v>0</v>
      </c>
      <c r="F533" s="4" t="str">
        <f>HYPERLINK("http://141.218.60.56/~jnz1568/getInfo.php?workbook=10_02.xlsx&amp;sheet=A0&amp;row=533&amp;col=6&amp;number=&amp;sourceID=27","")</f>
        <v/>
      </c>
      <c r="G533" s="4" t="str">
        <f>HYPERLINK("http://141.218.60.56/~jnz1568/getInfo.php?workbook=10_02.xlsx&amp;sheet=A0&amp;row=533&amp;col=7&amp;number=&amp;sourceID=32","")</f>
        <v/>
      </c>
      <c r="H533" s="4" t="str">
        <f>HYPERLINK("http://141.218.60.56/~jnz1568/getInfo.php?workbook=10_02.xlsx&amp;sheet=A0&amp;row=533&amp;col=8&amp;number=1364000&amp;sourceID=32","1364000")</f>
        <v>1364000</v>
      </c>
      <c r="I533" s="4" t="str">
        <f>HYPERLINK("http://141.218.60.56/~jnz1568/getInfo.php?workbook=10_02.xlsx&amp;sheet=A0&amp;row=533&amp;col=9&amp;number=0.2441&amp;sourceID=32","0.2441")</f>
        <v>0.2441</v>
      </c>
      <c r="J533" s="4" t="str">
        <f>HYPERLINK("http://141.218.60.56/~jnz1568/getInfo.php?workbook=10_02.xlsx&amp;sheet=A0&amp;row=533&amp;col=10&amp;number=&amp;sourceID=32","")</f>
        <v/>
      </c>
      <c r="K533" s="4" t="str">
        <f>HYPERLINK("http://141.218.60.56/~jnz1568/getInfo.php?workbook=10_02.xlsx&amp;sheet=A0&amp;row=533&amp;col=11&amp;number=1085200&amp;sourceID=46","1085200")</f>
        <v>1085200</v>
      </c>
      <c r="L533" s="4" t="str">
        <f>HYPERLINK("http://141.218.60.56/~jnz1568/getInfo.php?workbook=10_02.xlsx&amp;sheet=A0&amp;row=533&amp;col=12&amp;number=&amp;sourceID=47","")</f>
        <v/>
      </c>
    </row>
    <row r="534" spans="1:12">
      <c r="A534" s="3">
        <v>10</v>
      </c>
      <c r="B534" s="3">
        <v>2</v>
      </c>
      <c r="C534" s="3">
        <v>37</v>
      </c>
      <c r="D534" s="3">
        <v>3</v>
      </c>
      <c r="E534" s="3">
        <f>((1/(INDEX(E0!J$4:J$52,C534,1)-INDEX(E0!J$4:J$52,D534,1))))*100000000</f>
        <v>0</v>
      </c>
      <c r="F534" s="4" t="str">
        <f>HYPERLINK("http://141.218.60.56/~jnz1568/getInfo.php?workbook=10_02.xlsx&amp;sheet=A0&amp;row=534&amp;col=6&amp;number=&amp;sourceID=27","")</f>
        <v/>
      </c>
      <c r="G534" s="4" t="str">
        <f>HYPERLINK("http://141.218.60.56/~jnz1568/getInfo.php?workbook=10_02.xlsx&amp;sheet=A0&amp;row=534&amp;col=7&amp;number=36830000000&amp;sourceID=32","36830000000")</f>
        <v>36830000000</v>
      </c>
      <c r="H534" s="4" t="str">
        <f>HYPERLINK("http://141.218.60.56/~jnz1568/getInfo.php?workbook=10_02.xlsx&amp;sheet=A0&amp;row=534&amp;col=8&amp;number=&amp;sourceID=32","")</f>
        <v/>
      </c>
      <c r="I534" s="4" t="str">
        <f>HYPERLINK("http://141.218.60.56/~jnz1568/getInfo.php?workbook=10_02.xlsx&amp;sheet=A0&amp;row=534&amp;col=9&amp;number=&amp;sourceID=32","")</f>
        <v/>
      </c>
      <c r="J534" s="4" t="str">
        <f>HYPERLINK("http://141.218.60.56/~jnz1568/getInfo.php?workbook=10_02.xlsx&amp;sheet=A0&amp;row=534&amp;col=10&amp;number=&amp;sourceID=32","")</f>
        <v/>
      </c>
      <c r="K534" s="4" t="str">
        <f>HYPERLINK("http://141.218.60.56/~jnz1568/getInfo.php?workbook=10_02.xlsx&amp;sheet=A0&amp;row=534&amp;col=11&amp;number=36886000000&amp;sourceID=46","36886000000")</f>
        <v>36886000000</v>
      </c>
      <c r="L534" s="4" t="str">
        <f>HYPERLINK("http://141.218.60.56/~jnz1568/getInfo.php?workbook=10_02.xlsx&amp;sheet=A0&amp;row=534&amp;col=12&amp;number=&amp;sourceID=47","")</f>
        <v/>
      </c>
    </row>
    <row r="535" spans="1:12">
      <c r="A535" s="3">
        <v>10</v>
      </c>
      <c r="B535" s="3">
        <v>2</v>
      </c>
      <c r="C535" s="3">
        <v>37</v>
      </c>
      <c r="D535" s="3">
        <v>4</v>
      </c>
      <c r="E535" s="3">
        <f>((1/(INDEX(E0!J$4:J$52,C535,1)-INDEX(E0!J$4:J$52,D535,1))))*100000000</f>
        <v>0</v>
      </c>
      <c r="F535" s="4" t="str">
        <f>HYPERLINK("http://141.218.60.56/~jnz1568/getInfo.php?workbook=10_02.xlsx&amp;sheet=A0&amp;row=535&amp;col=6&amp;number=&amp;sourceID=27","")</f>
        <v/>
      </c>
      <c r="G535" s="4" t="str">
        <f>HYPERLINK("http://141.218.60.56/~jnz1568/getInfo.php?workbook=10_02.xlsx&amp;sheet=A0&amp;row=535&amp;col=7&amp;number=27600000000&amp;sourceID=32","27600000000")</f>
        <v>27600000000</v>
      </c>
      <c r="H535" s="4" t="str">
        <f>HYPERLINK("http://141.218.60.56/~jnz1568/getInfo.php?workbook=10_02.xlsx&amp;sheet=A0&amp;row=535&amp;col=8&amp;number=&amp;sourceID=32","")</f>
        <v/>
      </c>
      <c r="I535" s="4" t="str">
        <f>HYPERLINK("http://141.218.60.56/~jnz1568/getInfo.php?workbook=10_02.xlsx&amp;sheet=A0&amp;row=535&amp;col=9&amp;number=&amp;sourceID=32","")</f>
        <v/>
      </c>
      <c r="J535" s="4" t="str">
        <f>HYPERLINK("http://141.218.60.56/~jnz1568/getInfo.php?workbook=10_02.xlsx&amp;sheet=A0&amp;row=535&amp;col=10&amp;number=61.93&amp;sourceID=32","61.93")</f>
        <v>61.93</v>
      </c>
      <c r="K535" s="4" t="str">
        <f>HYPERLINK("http://141.218.60.56/~jnz1568/getInfo.php?workbook=10_02.xlsx&amp;sheet=A0&amp;row=535&amp;col=11&amp;number=27586000000&amp;sourceID=46","27586000000")</f>
        <v>27586000000</v>
      </c>
      <c r="L535" s="4" t="str">
        <f>HYPERLINK("http://141.218.60.56/~jnz1568/getInfo.php?workbook=10_02.xlsx&amp;sheet=A0&amp;row=535&amp;col=12&amp;number=&amp;sourceID=47","")</f>
        <v/>
      </c>
    </row>
    <row r="536" spans="1:12">
      <c r="A536" s="3">
        <v>10</v>
      </c>
      <c r="B536" s="3">
        <v>2</v>
      </c>
      <c r="C536" s="3">
        <v>37</v>
      </c>
      <c r="D536" s="3">
        <v>5</v>
      </c>
      <c r="E536" s="3">
        <f>((1/(INDEX(E0!J$4:J$52,C536,1)-INDEX(E0!J$4:J$52,D536,1))))*100000000</f>
        <v>0</v>
      </c>
      <c r="F536" s="4" t="str">
        <f>HYPERLINK("http://141.218.60.56/~jnz1568/getInfo.php?workbook=10_02.xlsx&amp;sheet=A0&amp;row=536&amp;col=6&amp;number=&amp;sourceID=27","")</f>
        <v/>
      </c>
      <c r="G536" s="4" t="str">
        <f>HYPERLINK("http://141.218.60.56/~jnz1568/getInfo.php?workbook=10_02.xlsx&amp;sheet=A0&amp;row=536&amp;col=7&amp;number=1835000000&amp;sourceID=32","1835000000")</f>
        <v>1835000000</v>
      </c>
      <c r="H536" s="4" t="str">
        <f>HYPERLINK("http://141.218.60.56/~jnz1568/getInfo.php?workbook=10_02.xlsx&amp;sheet=A0&amp;row=536&amp;col=8&amp;number=&amp;sourceID=32","")</f>
        <v/>
      </c>
      <c r="I536" s="4" t="str">
        <f>HYPERLINK("http://141.218.60.56/~jnz1568/getInfo.php?workbook=10_02.xlsx&amp;sheet=A0&amp;row=536&amp;col=9&amp;number=&amp;sourceID=32","")</f>
        <v/>
      </c>
      <c r="J536" s="4" t="str">
        <f>HYPERLINK("http://141.218.60.56/~jnz1568/getInfo.php?workbook=10_02.xlsx&amp;sheet=A0&amp;row=536&amp;col=10&amp;number=0.000491&amp;sourceID=32","0.000491")</f>
        <v>0.000491</v>
      </c>
      <c r="K536" s="4" t="str">
        <f>HYPERLINK("http://141.218.60.56/~jnz1568/getInfo.php?workbook=10_02.xlsx&amp;sheet=A0&amp;row=536&amp;col=11&amp;number=1826400000&amp;sourceID=46","1826400000")</f>
        <v>1826400000</v>
      </c>
      <c r="L536" s="4" t="str">
        <f>HYPERLINK("http://141.218.60.56/~jnz1568/getInfo.php?workbook=10_02.xlsx&amp;sheet=A0&amp;row=536&amp;col=12&amp;number=&amp;sourceID=47","")</f>
        <v/>
      </c>
    </row>
    <row r="537" spans="1:12">
      <c r="A537" s="3">
        <v>10</v>
      </c>
      <c r="B537" s="3">
        <v>2</v>
      </c>
      <c r="C537" s="3">
        <v>37</v>
      </c>
      <c r="D537" s="3">
        <v>6</v>
      </c>
      <c r="E537" s="3">
        <f>((1/(INDEX(E0!J$4:J$52,C537,1)-INDEX(E0!J$4:J$52,D537,1))))*100000000</f>
        <v>0</v>
      </c>
      <c r="F537" s="4" t="str">
        <f>HYPERLINK("http://141.218.60.56/~jnz1568/getInfo.php?workbook=10_02.xlsx&amp;sheet=A0&amp;row=537&amp;col=6&amp;number=&amp;sourceID=27","")</f>
        <v/>
      </c>
      <c r="G537" s="4" t="str">
        <f>HYPERLINK("http://141.218.60.56/~jnz1568/getInfo.php?workbook=10_02.xlsx&amp;sheet=A0&amp;row=537&amp;col=7&amp;number=&amp;sourceID=32","")</f>
        <v/>
      </c>
      <c r="H537" s="4" t="str">
        <f>HYPERLINK("http://141.218.60.56/~jnz1568/getInfo.php?workbook=10_02.xlsx&amp;sheet=A0&amp;row=537&amp;col=8&amp;number=&amp;sourceID=32","")</f>
        <v/>
      </c>
      <c r="I537" s="4" t="str">
        <f>HYPERLINK("http://141.218.60.56/~jnz1568/getInfo.php?workbook=10_02.xlsx&amp;sheet=A0&amp;row=537&amp;col=9&amp;number=0.1275&amp;sourceID=32","0.1275")</f>
        <v>0.1275</v>
      </c>
      <c r="J537" s="4" t="str">
        <f>HYPERLINK("http://141.218.60.56/~jnz1568/getInfo.php?workbook=10_02.xlsx&amp;sheet=A0&amp;row=537&amp;col=10&amp;number=&amp;sourceID=32","")</f>
        <v/>
      </c>
      <c r="K537" s="4" t="str">
        <f>HYPERLINK("http://141.218.60.56/~jnz1568/getInfo.php?workbook=10_02.xlsx&amp;sheet=A0&amp;row=537&amp;col=11&amp;number=&amp;sourceID=46","")</f>
        <v/>
      </c>
      <c r="L537" s="4" t="str">
        <f>HYPERLINK("http://141.218.60.56/~jnz1568/getInfo.php?workbook=10_02.xlsx&amp;sheet=A0&amp;row=537&amp;col=12&amp;number=&amp;sourceID=47","")</f>
        <v/>
      </c>
    </row>
    <row r="538" spans="1:12">
      <c r="A538" s="3">
        <v>10</v>
      </c>
      <c r="B538" s="3">
        <v>2</v>
      </c>
      <c r="C538" s="3">
        <v>37</v>
      </c>
      <c r="D538" s="3">
        <v>7</v>
      </c>
      <c r="E538" s="3">
        <f>((1/(INDEX(E0!J$4:J$52,C538,1)-INDEX(E0!J$4:J$52,D538,1))))*100000000</f>
        <v>0</v>
      </c>
      <c r="F538" s="4" t="str">
        <f>HYPERLINK("http://141.218.60.56/~jnz1568/getInfo.php?workbook=10_02.xlsx&amp;sheet=A0&amp;row=538&amp;col=6&amp;number=&amp;sourceID=27","")</f>
        <v/>
      </c>
      <c r="G538" s="4" t="str">
        <f>HYPERLINK("http://141.218.60.56/~jnz1568/getInfo.php?workbook=10_02.xlsx&amp;sheet=A0&amp;row=538&amp;col=7&amp;number=14160000&amp;sourceID=32","14160000")</f>
        <v>14160000</v>
      </c>
      <c r="H538" s="4" t="str">
        <f>HYPERLINK("http://141.218.60.56/~jnz1568/getInfo.php?workbook=10_02.xlsx&amp;sheet=A0&amp;row=538&amp;col=8&amp;number=&amp;sourceID=32","")</f>
        <v/>
      </c>
      <c r="I538" s="4" t="str">
        <f>HYPERLINK("http://141.218.60.56/~jnz1568/getInfo.php?workbook=10_02.xlsx&amp;sheet=A0&amp;row=538&amp;col=9&amp;number=&amp;sourceID=32","")</f>
        <v/>
      </c>
      <c r="J538" s="4" t="str">
        <f>HYPERLINK("http://141.218.60.56/~jnz1568/getInfo.php?workbook=10_02.xlsx&amp;sheet=A0&amp;row=538&amp;col=10&amp;number=23.59&amp;sourceID=32","23.59")</f>
        <v>23.59</v>
      </c>
      <c r="K538" s="4" t="str">
        <f>HYPERLINK("http://141.218.60.56/~jnz1568/getInfo.php?workbook=10_02.xlsx&amp;sheet=A0&amp;row=538&amp;col=11&amp;number=8941100&amp;sourceID=46","8941100")</f>
        <v>8941100</v>
      </c>
      <c r="L538" s="4" t="str">
        <f>HYPERLINK("http://141.218.60.56/~jnz1568/getInfo.php?workbook=10_02.xlsx&amp;sheet=A0&amp;row=538&amp;col=12&amp;number=&amp;sourceID=47","")</f>
        <v/>
      </c>
    </row>
    <row r="539" spans="1:12">
      <c r="A539" s="3">
        <v>10</v>
      </c>
      <c r="B539" s="3">
        <v>2</v>
      </c>
      <c r="C539" s="3">
        <v>37</v>
      </c>
      <c r="D539" s="3">
        <v>8</v>
      </c>
      <c r="E539" s="3">
        <f>((1/(INDEX(E0!J$4:J$52,C539,1)-INDEX(E0!J$4:J$52,D539,1))))*100000000</f>
        <v>0</v>
      </c>
      <c r="F539" s="4" t="str">
        <f>HYPERLINK("http://141.218.60.56/~jnz1568/getInfo.php?workbook=10_02.xlsx&amp;sheet=A0&amp;row=539&amp;col=6&amp;number=&amp;sourceID=27","")</f>
        <v/>
      </c>
      <c r="G539" s="4" t="str">
        <f>HYPERLINK("http://141.218.60.56/~jnz1568/getInfo.php?workbook=10_02.xlsx&amp;sheet=A0&amp;row=539&amp;col=7&amp;number=&amp;sourceID=32","")</f>
        <v/>
      </c>
      <c r="H539" s="4" t="str">
        <f>HYPERLINK("http://141.218.60.56/~jnz1568/getInfo.php?workbook=10_02.xlsx&amp;sheet=A0&amp;row=539&amp;col=8&amp;number=815900&amp;sourceID=32","815900")</f>
        <v>815900</v>
      </c>
      <c r="I539" s="4" t="str">
        <f>HYPERLINK("http://141.218.60.56/~jnz1568/getInfo.php?workbook=10_02.xlsx&amp;sheet=A0&amp;row=539&amp;col=9&amp;number=0.007808&amp;sourceID=32","0.007808")</f>
        <v>0.007808</v>
      </c>
      <c r="J539" s="4" t="str">
        <f>HYPERLINK("http://141.218.60.56/~jnz1568/getInfo.php?workbook=10_02.xlsx&amp;sheet=A0&amp;row=539&amp;col=10&amp;number=&amp;sourceID=32","")</f>
        <v/>
      </c>
      <c r="K539" s="4" t="str">
        <f>HYPERLINK("http://141.218.60.56/~jnz1568/getInfo.php?workbook=10_02.xlsx&amp;sheet=A0&amp;row=539&amp;col=11&amp;number=801700&amp;sourceID=46","801700")</f>
        <v>801700</v>
      </c>
      <c r="L539" s="4" t="str">
        <f>HYPERLINK("http://141.218.60.56/~jnz1568/getInfo.php?workbook=10_02.xlsx&amp;sheet=A0&amp;row=539&amp;col=12&amp;number=&amp;sourceID=47","")</f>
        <v/>
      </c>
    </row>
    <row r="540" spans="1:12">
      <c r="A540" s="3">
        <v>10</v>
      </c>
      <c r="B540" s="3">
        <v>2</v>
      </c>
      <c r="C540" s="3">
        <v>37</v>
      </c>
      <c r="D540" s="3">
        <v>9</v>
      </c>
      <c r="E540" s="3">
        <f>((1/(INDEX(E0!J$4:J$52,C540,1)-INDEX(E0!J$4:J$52,D540,1))))*100000000</f>
        <v>0</v>
      </c>
      <c r="F540" s="4" t="str">
        <f>HYPERLINK("http://141.218.60.56/~jnz1568/getInfo.php?workbook=10_02.xlsx&amp;sheet=A0&amp;row=540&amp;col=6&amp;number=&amp;sourceID=27","")</f>
        <v/>
      </c>
      <c r="G540" s="4" t="str">
        <f>HYPERLINK("http://141.218.60.56/~jnz1568/getInfo.php?workbook=10_02.xlsx&amp;sheet=A0&amp;row=540&amp;col=7&amp;number=12550000000&amp;sourceID=32","12550000000")</f>
        <v>12550000000</v>
      </c>
      <c r="H540" s="4" t="str">
        <f>HYPERLINK("http://141.218.60.56/~jnz1568/getInfo.php?workbook=10_02.xlsx&amp;sheet=A0&amp;row=540&amp;col=8&amp;number=&amp;sourceID=32","")</f>
        <v/>
      </c>
      <c r="I540" s="4" t="str">
        <f>HYPERLINK("http://141.218.60.56/~jnz1568/getInfo.php?workbook=10_02.xlsx&amp;sheet=A0&amp;row=540&amp;col=9&amp;number=&amp;sourceID=32","")</f>
        <v/>
      </c>
      <c r="J540" s="4" t="str">
        <f>HYPERLINK("http://141.218.60.56/~jnz1568/getInfo.php?workbook=10_02.xlsx&amp;sheet=A0&amp;row=540&amp;col=10&amp;number=&amp;sourceID=32","")</f>
        <v/>
      </c>
      <c r="K540" s="4" t="str">
        <f>HYPERLINK("http://141.218.60.56/~jnz1568/getInfo.php?workbook=10_02.xlsx&amp;sheet=A0&amp;row=540&amp;col=11&amp;number=12527000000&amp;sourceID=46","12527000000")</f>
        <v>12527000000</v>
      </c>
      <c r="L540" s="4" t="str">
        <f>HYPERLINK("http://141.218.60.56/~jnz1568/getInfo.php?workbook=10_02.xlsx&amp;sheet=A0&amp;row=540&amp;col=12&amp;number=&amp;sourceID=47","")</f>
        <v/>
      </c>
    </row>
    <row r="541" spans="1:12">
      <c r="A541" s="3">
        <v>10</v>
      </c>
      <c r="B541" s="3">
        <v>2</v>
      </c>
      <c r="C541" s="3">
        <v>37</v>
      </c>
      <c r="D541" s="3">
        <v>10</v>
      </c>
      <c r="E541" s="3">
        <f>((1/(INDEX(E0!J$4:J$52,C541,1)-INDEX(E0!J$4:J$52,D541,1))))*100000000</f>
        <v>0</v>
      </c>
      <c r="F541" s="4" t="str">
        <f>HYPERLINK("http://141.218.60.56/~jnz1568/getInfo.php?workbook=10_02.xlsx&amp;sheet=A0&amp;row=541&amp;col=6&amp;number=&amp;sourceID=27","")</f>
        <v/>
      </c>
      <c r="G541" s="4" t="str">
        <f>HYPERLINK("http://141.218.60.56/~jnz1568/getInfo.php?workbook=10_02.xlsx&amp;sheet=A0&amp;row=541&amp;col=7&amp;number=9408000000&amp;sourceID=32","9408000000")</f>
        <v>9408000000</v>
      </c>
      <c r="H541" s="4" t="str">
        <f>HYPERLINK("http://141.218.60.56/~jnz1568/getInfo.php?workbook=10_02.xlsx&amp;sheet=A0&amp;row=541&amp;col=8&amp;number=&amp;sourceID=32","")</f>
        <v/>
      </c>
      <c r="I541" s="4" t="str">
        <f>HYPERLINK("http://141.218.60.56/~jnz1568/getInfo.php?workbook=10_02.xlsx&amp;sheet=A0&amp;row=541&amp;col=9&amp;number=&amp;sourceID=32","")</f>
        <v/>
      </c>
      <c r="J541" s="4" t="str">
        <f>HYPERLINK("http://141.218.60.56/~jnz1568/getInfo.php?workbook=10_02.xlsx&amp;sheet=A0&amp;row=541&amp;col=10&amp;number=2.386&amp;sourceID=32","2.386")</f>
        <v>2.386</v>
      </c>
      <c r="K541" s="4" t="str">
        <f>HYPERLINK("http://141.218.60.56/~jnz1568/getInfo.php?workbook=10_02.xlsx&amp;sheet=A0&amp;row=541&amp;col=11&amp;number=9386300000&amp;sourceID=46","9386300000")</f>
        <v>9386300000</v>
      </c>
      <c r="L541" s="4" t="str">
        <f>HYPERLINK("http://141.218.60.56/~jnz1568/getInfo.php?workbook=10_02.xlsx&amp;sheet=A0&amp;row=541&amp;col=12&amp;number=&amp;sourceID=47","")</f>
        <v/>
      </c>
    </row>
    <row r="542" spans="1:12">
      <c r="A542" s="3">
        <v>10</v>
      </c>
      <c r="B542" s="3">
        <v>2</v>
      </c>
      <c r="C542" s="3">
        <v>37</v>
      </c>
      <c r="D542" s="3">
        <v>11</v>
      </c>
      <c r="E542" s="3">
        <f>((1/(INDEX(E0!J$4:J$52,C542,1)-INDEX(E0!J$4:J$52,D542,1))))*100000000</f>
        <v>0</v>
      </c>
      <c r="F542" s="4" t="str">
        <f>HYPERLINK("http://141.218.60.56/~jnz1568/getInfo.php?workbook=10_02.xlsx&amp;sheet=A0&amp;row=542&amp;col=6&amp;number=&amp;sourceID=27","")</f>
        <v/>
      </c>
      <c r="G542" s="4" t="str">
        <f>HYPERLINK("http://141.218.60.56/~jnz1568/getInfo.php?workbook=10_02.xlsx&amp;sheet=A0&amp;row=542&amp;col=7&amp;number=&amp;sourceID=32","")</f>
        <v/>
      </c>
      <c r="H542" s="4" t="str">
        <f>HYPERLINK("http://141.218.60.56/~jnz1568/getInfo.php?workbook=10_02.xlsx&amp;sheet=A0&amp;row=542&amp;col=8&amp;number=&amp;sourceID=32","")</f>
        <v/>
      </c>
      <c r="I542" s="4" t="str">
        <f>HYPERLINK("http://141.218.60.56/~jnz1568/getInfo.php?workbook=10_02.xlsx&amp;sheet=A0&amp;row=542&amp;col=9&amp;number=0.00238&amp;sourceID=32","0.00238")</f>
        <v>0.00238</v>
      </c>
      <c r="J542" s="4" t="str">
        <f>HYPERLINK("http://141.218.60.56/~jnz1568/getInfo.php?workbook=10_02.xlsx&amp;sheet=A0&amp;row=542&amp;col=10&amp;number=&amp;sourceID=32","")</f>
        <v/>
      </c>
      <c r="K542" s="4" t="str">
        <f>HYPERLINK("http://141.218.60.56/~jnz1568/getInfo.php?workbook=10_02.xlsx&amp;sheet=A0&amp;row=542&amp;col=11&amp;number=&amp;sourceID=46","")</f>
        <v/>
      </c>
      <c r="L542" s="4" t="str">
        <f>HYPERLINK("http://141.218.60.56/~jnz1568/getInfo.php?workbook=10_02.xlsx&amp;sheet=A0&amp;row=542&amp;col=12&amp;number=&amp;sourceID=47","")</f>
        <v/>
      </c>
    </row>
    <row r="543" spans="1:12">
      <c r="A543" s="3">
        <v>10</v>
      </c>
      <c r="B543" s="3">
        <v>2</v>
      </c>
      <c r="C543" s="3">
        <v>37</v>
      </c>
      <c r="D543" s="3">
        <v>12</v>
      </c>
      <c r="E543" s="3">
        <f>((1/(INDEX(E0!J$4:J$52,C543,1)-INDEX(E0!J$4:J$52,D543,1))))*100000000</f>
        <v>0</v>
      </c>
      <c r="F543" s="4" t="str">
        <f>HYPERLINK("http://141.218.60.56/~jnz1568/getInfo.php?workbook=10_02.xlsx&amp;sheet=A0&amp;row=543&amp;col=6&amp;number=&amp;sourceID=27","")</f>
        <v/>
      </c>
      <c r="G543" s="4" t="str">
        <f>HYPERLINK("http://141.218.60.56/~jnz1568/getInfo.php?workbook=10_02.xlsx&amp;sheet=A0&amp;row=543&amp;col=7&amp;number=626300000&amp;sourceID=32","626300000")</f>
        <v>626300000</v>
      </c>
      <c r="H543" s="4" t="str">
        <f>HYPERLINK("http://141.218.60.56/~jnz1568/getInfo.php?workbook=10_02.xlsx&amp;sheet=A0&amp;row=543&amp;col=8&amp;number=&amp;sourceID=32","")</f>
        <v/>
      </c>
      <c r="I543" s="4" t="str">
        <f>HYPERLINK("http://141.218.60.56/~jnz1568/getInfo.php?workbook=10_02.xlsx&amp;sheet=A0&amp;row=543&amp;col=9&amp;number=&amp;sourceID=32","")</f>
        <v/>
      </c>
      <c r="J543" s="4" t="str">
        <f>HYPERLINK("http://141.218.60.56/~jnz1568/getInfo.php?workbook=10_02.xlsx&amp;sheet=A0&amp;row=543&amp;col=10&amp;number=2.441e-07&amp;sourceID=32","2.441e-07")</f>
        <v>2.441e-07</v>
      </c>
      <c r="K543" s="4" t="str">
        <f>HYPERLINK("http://141.218.60.56/~jnz1568/getInfo.php?workbook=10_02.xlsx&amp;sheet=A0&amp;row=543&amp;col=11&amp;number=623900000&amp;sourceID=46","623900000")</f>
        <v>623900000</v>
      </c>
      <c r="L543" s="4" t="str">
        <f>HYPERLINK("http://141.218.60.56/~jnz1568/getInfo.php?workbook=10_02.xlsx&amp;sheet=A0&amp;row=543&amp;col=12&amp;number=&amp;sourceID=47","")</f>
        <v/>
      </c>
    </row>
    <row r="544" spans="1:12">
      <c r="A544" s="3">
        <v>10</v>
      </c>
      <c r="B544" s="3">
        <v>2</v>
      </c>
      <c r="C544" s="3">
        <v>37</v>
      </c>
      <c r="D544" s="3">
        <v>13</v>
      </c>
      <c r="E544" s="3">
        <f>((1/(INDEX(E0!J$4:J$52,C544,1)-INDEX(E0!J$4:J$52,D544,1))))*100000000</f>
        <v>0</v>
      </c>
      <c r="F544" s="4" t="str">
        <f>HYPERLINK("http://141.218.60.56/~jnz1568/getInfo.php?workbook=10_02.xlsx&amp;sheet=A0&amp;row=544&amp;col=6&amp;number=&amp;sourceID=27","")</f>
        <v/>
      </c>
      <c r="G544" s="4" t="str">
        <f>HYPERLINK("http://141.218.60.56/~jnz1568/getInfo.php?workbook=10_02.xlsx&amp;sheet=A0&amp;row=544&amp;col=7&amp;number=&amp;sourceID=32","")</f>
        <v/>
      </c>
      <c r="H544" s="4" t="str">
        <f>HYPERLINK("http://141.218.60.56/~jnz1568/getInfo.php?workbook=10_02.xlsx&amp;sheet=A0&amp;row=544&amp;col=8&amp;number=106500&amp;sourceID=32","106500")</f>
        <v>106500</v>
      </c>
      <c r="I544" s="4" t="str">
        <f>HYPERLINK("http://141.218.60.56/~jnz1568/getInfo.php?workbook=10_02.xlsx&amp;sheet=A0&amp;row=544&amp;col=9&amp;number=0.05978&amp;sourceID=32","0.05978")</f>
        <v>0.05978</v>
      </c>
      <c r="J544" s="4" t="str">
        <f>HYPERLINK("http://141.218.60.56/~jnz1568/getInfo.php?workbook=10_02.xlsx&amp;sheet=A0&amp;row=544&amp;col=10&amp;number=&amp;sourceID=32","")</f>
        <v/>
      </c>
      <c r="K544" s="4" t="str">
        <f>HYPERLINK("http://141.218.60.56/~jnz1568/getInfo.php?workbook=10_02.xlsx&amp;sheet=A0&amp;row=544&amp;col=11&amp;number=106430&amp;sourceID=46","106430")</f>
        <v>106430</v>
      </c>
      <c r="L544" s="4" t="str">
        <f>HYPERLINK("http://141.218.60.56/~jnz1568/getInfo.php?workbook=10_02.xlsx&amp;sheet=A0&amp;row=544&amp;col=12&amp;number=&amp;sourceID=47","")</f>
        <v/>
      </c>
    </row>
    <row r="545" spans="1:12">
      <c r="A545" s="3">
        <v>10</v>
      </c>
      <c r="B545" s="3">
        <v>2</v>
      </c>
      <c r="C545" s="3">
        <v>37</v>
      </c>
      <c r="D545" s="3">
        <v>14</v>
      </c>
      <c r="E545" s="3">
        <f>((1/(INDEX(E0!J$4:J$52,C545,1)-INDEX(E0!J$4:J$52,D545,1))))*100000000</f>
        <v>0</v>
      </c>
      <c r="F545" s="4" t="str">
        <f>HYPERLINK("http://141.218.60.56/~jnz1568/getInfo.php?workbook=10_02.xlsx&amp;sheet=A0&amp;row=545&amp;col=6&amp;number=&amp;sourceID=27","")</f>
        <v/>
      </c>
      <c r="G545" s="4" t="str">
        <f>HYPERLINK("http://141.218.60.56/~jnz1568/getInfo.php?workbook=10_02.xlsx&amp;sheet=A0&amp;row=545&amp;col=7&amp;number=&amp;sourceID=32","")</f>
        <v/>
      </c>
      <c r="H545" s="4" t="str">
        <f>HYPERLINK("http://141.218.60.56/~jnz1568/getInfo.php?workbook=10_02.xlsx&amp;sheet=A0&amp;row=545&amp;col=8&amp;number=170300&amp;sourceID=32","170300")</f>
        <v>170300</v>
      </c>
      <c r="I545" s="4" t="str">
        <f>HYPERLINK("http://141.218.60.56/~jnz1568/getInfo.php?workbook=10_02.xlsx&amp;sheet=A0&amp;row=545&amp;col=9&amp;number=0.0003794&amp;sourceID=32","0.0003794")</f>
        <v>0.0003794</v>
      </c>
      <c r="J545" s="4" t="str">
        <f>HYPERLINK("http://141.218.60.56/~jnz1568/getInfo.php?workbook=10_02.xlsx&amp;sheet=A0&amp;row=545&amp;col=10&amp;number=&amp;sourceID=32","")</f>
        <v/>
      </c>
      <c r="K545" s="4" t="str">
        <f>HYPERLINK("http://141.218.60.56/~jnz1568/getInfo.php?workbook=10_02.xlsx&amp;sheet=A0&amp;row=545&amp;col=11&amp;number=172810&amp;sourceID=46","172810")</f>
        <v>172810</v>
      </c>
      <c r="L545" s="4" t="str">
        <f>HYPERLINK("http://141.218.60.56/~jnz1568/getInfo.php?workbook=10_02.xlsx&amp;sheet=A0&amp;row=545&amp;col=12&amp;number=&amp;sourceID=47","")</f>
        <v/>
      </c>
    </row>
    <row r="546" spans="1:12">
      <c r="A546" s="3">
        <v>10</v>
      </c>
      <c r="B546" s="3">
        <v>2</v>
      </c>
      <c r="C546" s="3">
        <v>37</v>
      </c>
      <c r="D546" s="3">
        <v>15</v>
      </c>
      <c r="E546" s="3">
        <f>((1/(INDEX(E0!J$4:J$52,C546,1)-INDEX(E0!J$4:J$52,D546,1))))*100000000</f>
        <v>0</v>
      </c>
      <c r="F546" s="4" t="str">
        <f>HYPERLINK("http://141.218.60.56/~jnz1568/getInfo.php?workbook=10_02.xlsx&amp;sheet=A0&amp;row=546&amp;col=6&amp;number=&amp;sourceID=27","")</f>
        <v/>
      </c>
      <c r="G546" s="4" t="str">
        <f>HYPERLINK("http://141.218.60.56/~jnz1568/getInfo.php?workbook=10_02.xlsx&amp;sheet=A0&amp;row=546&amp;col=7&amp;number=&amp;sourceID=32","")</f>
        <v/>
      </c>
      <c r="H546" s="4" t="str">
        <f>HYPERLINK("http://141.218.60.56/~jnz1568/getInfo.php?workbook=10_02.xlsx&amp;sheet=A0&amp;row=546&amp;col=8&amp;number=20270&amp;sourceID=32","20270")</f>
        <v>20270</v>
      </c>
      <c r="I546" s="4" t="str">
        <f>HYPERLINK("http://141.218.60.56/~jnz1568/getInfo.php?workbook=10_02.xlsx&amp;sheet=A0&amp;row=546&amp;col=9&amp;number=&amp;sourceID=32","")</f>
        <v/>
      </c>
      <c r="J546" s="4" t="str">
        <f>HYPERLINK("http://141.218.60.56/~jnz1568/getInfo.php?workbook=10_02.xlsx&amp;sheet=A0&amp;row=546&amp;col=10&amp;number=&amp;sourceID=32","")</f>
        <v/>
      </c>
      <c r="K546" s="4" t="str">
        <f>HYPERLINK("http://141.218.60.56/~jnz1568/getInfo.php?workbook=10_02.xlsx&amp;sheet=A0&amp;row=546&amp;col=11&amp;number=20234&amp;sourceID=46","20234")</f>
        <v>20234</v>
      </c>
      <c r="L546" s="4" t="str">
        <f>HYPERLINK("http://141.218.60.56/~jnz1568/getInfo.php?workbook=10_02.xlsx&amp;sheet=A0&amp;row=546&amp;col=12&amp;number=&amp;sourceID=47","")</f>
        <v/>
      </c>
    </row>
    <row r="547" spans="1:12">
      <c r="A547" s="3">
        <v>10</v>
      </c>
      <c r="B547" s="3">
        <v>2</v>
      </c>
      <c r="C547" s="3">
        <v>37</v>
      </c>
      <c r="D547" s="3">
        <v>16</v>
      </c>
      <c r="E547" s="3">
        <f>((1/(INDEX(E0!J$4:J$52,C547,1)-INDEX(E0!J$4:J$52,D547,1))))*100000000</f>
        <v>0</v>
      </c>
      <c r="F547" s="4" t="str">
        <f>HYPERLINK("http://141.218.60.56/~jnz1568/getInfo.php?workbook=10_02.xlsx&amp;sheet=A0&amp;row=547&amp;col=6&amp;number=&amp;sourceID=27","")</f>
        <v/>
      </c>
      <c r="G547" s="4" t="str">
        <f>HYPERLINK("http://141.218.60.56/~jnz1568/getInfo.php?workbook=10_02.xlsx&amp;sheet=A0&amp;row=547&amp;col=7&amp;number=&amp;sourceID=32","")</f>
        <v/>
      </c>
      <c r="H547" s="4" t="str">
        <f>HYPERLINK("http://141.218.60.56/~jnz1568/getInfo.php?workbook=10_02.xlsx&amp;sheet=A0&amp;row=547&amp;col=8&amp;number=7560&amp;sourceID=32","7560")</f>
        <v>7560</v>
      </c>
      <c r="I547" s="4" t="str">
        <f>HYPERLINK("http://141.218.60.56/~jnz1568/getInfo.php?workbook=10_02.xlsx&amp;sheet=A0&amp;row=547&amp;col=9&amp;number=0.1686&amp;sourceID=32","0.1686")</f>
        <v>0.1686</v>
      </c>
      <c r="J547" s="4" t="str">
        <f>HYPERLINK("http://141.218.60.56/~jnz1568/getInfo.php?workbook=10_02.xlsx&amp;sheet=A0&amp;row=547&amp;col=10&amp;number=&amp;sourceID=32","")</f>
        <v/>
      </c>
      <c r="K547" s="4" t="str">
        <f>HYPERLINK("http://141.218.60.56/~jnz1568/getInfo.php?workbook=10_02.xlsx&amp;sheet=A0&amp;row=547&amp;col=11&amp;number=4816.3&amp;sourceID=46","4816.3")</f>
        <v>4816.3</v>
      </c>
      <c r="L547" s="4" t="str">
        <f>HYPERLINK("http://141.218.60.56/~jnz1568/getInfo.php?workbook=10_02.xlsx&amp;sheet=A0&amp;row=547&amp;col=12&amp;number=&amp;sourceID=47","")</f>
        <v/>
      </c>
    </row>
    <row r="548" spans="1:12">
      <c r="A548" s="3">
        <v>10</v>
      </c>
      <c r="B548" s="3">
        <v>2</v>
      </c>
      <c r="C548" s="3">
        <v>37</v>
      </c>
      <c r="D548" s="3">
        <v>17</v>
      </c>
      <c r="E548" s="3">
        <f>((1/(INDEX(E0!J$4:J$52,C548,1)-INDEX(E0!J$4:J$52,D548,1))))*100000000</f>
        <v>0</v>
      </c>
      <c r="F548" s="4" t="str">
        <f>HYPERLINK("http://141.218.60.56/~jnz1568/getInfo.php?workbook=10_02.xlsx&amp;sheet=A0&amp;row=548&amp;col=6&amp;number=&amp;sourceID=27","")</f>
        <v/>
      </c>
      <c r="G548" s="4" t="str">
        <f>HYPERLINK("http://141.218.60.56/~jnz1568/getInfo.php?workbook=10_02.xlsx&amp;sheet=A0&amp;row=548&amp;col=7&amp;number=5951000&amp;sourceID=32","5951000")</f>
        <v>5951000</v>
      </c>
      <c r="H548" s="4" t="str">
        <f>HYPERLINK("http://141.218.60.56/~jnz1568/getInfo.php?workbook=10_02.xlsx&amp;sheet=A0&amp;row=548&amp;col=8&amp;number=&amp;sourceID=32","")</f>
        <v/>
      </c>
      <c r="I548" s="4" t="str">
        <f>HYPERLINK("http://141.218.60.56/~jnz1568/getInfo.php?workbook=10_02.xlsx&amp;sheet=A0&amp;row=548&amp;col=9&amp;number=&amp;sourceID=32","")</f>
        <v/>
      </c>
      <c r="J548" s="4" t="str">
        <f>HYPERLINK("http://141.218.60.56/~jnz1568/getInfo.php?workbook=10_02.xlsx&amp;sheet=A0&amp;row=548&amp;col=10&amp;number=0.9969&amp;sourceID=32","0.9969")</f>
        <v>0.9969</v>
      </c>
      <c r="K548" s="4" t="str">
        <f>HYPERLINK("http://141.218.60.56/~jnz1568/getInfo.php?workbook=10_02.xlsx&amp;sheet=A0&amp;row=548&amp;col=11&amp;number=4015900&amp;sourceID=46","4015900")</f>
        <v>4015900</v>
      </c>
      <c r="L548" s="4" t="str">
        <f>HYPERLINK("http://141.218.60.56/~jnz1568/getInfo.php?workbook=10_02.xlsx&amp;sheet=A0&amp;row=548&amp;col=12&amp;number=&amp;sourceID=47","")</f>
        <v/>
      </c>
    </row>
    <row r="549" spans="1:12">
      <c r="A549" s="3">
        <v>10</v>
      </c>
      <c r="B549" s="3">
        <v>2</v>
      </c>
      <c r="C549" s="3">
        <v>37</v>
      </c>
      <c r="D549" s="3">
        <v>18</v>
      </c>
      <c r="E549" s="3">
        <f>((1/(INDEX(E0!J$4:J$52,C549,1)-INDEX(E0!J$4:J$52,D549,1))))*100000000</f>
        <v>0</v>
      </c>
      <c r="F549" s="4" t="str">
        <f>HYPERLINK("http://141.218.60.56/~jnz1568/getInfo.php?workbook=10_02.xlsx&amp;sheet=A0&amp;row=549&amp;col=6&amp;number=&amp;sourceID=27","")</f>
        <v/>
      </c>
      <c r="G549" s="4" t="str">
        <f>HYPERLINK("http://141.218.60.56/~jnz1568/getInfo.php?workbook=10_02.xlsx&amp;sheet=A0&amp;row=549&amp;col=7&amp;number=&amp;sourceID=32","")</f>
        <v/>
      </c>
      <c r="H549" s="4" t="str">
        <f>HYPERLINK("http://141.218.60.56/~jnz1568/getInfo.php?workbook=10_02.xlsx&amp;sheet=A0&amp;row=549&amp;col=8&amp;number=322500&amp;sourceID=32","322500")</f>
        <v>322500</v>
      </c>
      <c r="I549" s="4" t="str">
        <f>HYPERLINK("http://141.218.60.56/~jnz1568/getInfo.php?workbook=10_02.xlsx&amp;sheet=A0&amp;row=549&amp;col=9&amp;number=0.0004044&amp;sourceID=32","0.0004044")</f>
        <v>0.0004044</v>
      </c>
      <c r="J549" s="4" t="str">
        <f>HYPERLINK("http://141.218.60.56/~jnz1568/getInfo.php?workbook=10_02.xlsx&amp;sheet=A0&amp;row=549&amp;col=10&amp;number=&amp;sourceID=32","")</f>
        <v/>
      </c>
      <c r="K549" s="4" t="str">
        <f>HYPERLINK("http://141.218.60.56/~jnz1568/getInfo.php?workbook=10_02.xlsx&amp;sheet=A0&amp;row=549&amp;col=11&amp;number=321930&amp;sourceID=46","321930")</f>
        <v>321930</v>
      </c>
      <c r="L549" s="4" t="str">
        <f>HYPERLINK("http://141.218.60.56/~jnz1568/getInfo.php?workbook=10_02.xlsx&amp;sheet=A0&amp;row=549&amp;col=12&amp;number=&amp;sourceID=47","")</f>
        <v/>
      </c>
    </row>
    <row r="550" spans="1:12">
      <c r="A550" s="3">
        <v>10</v>
      </c>
      <c r="B550" s="3">
        <v>2</v>
      </c>
      <c r="C550" s="3">
        <v>37</v>
      </c>
      <c r="D550" s="3">
        <v>19</v>
      </c>
      <c r="E550" s="3">
        <f>((1/(INDEX(E0!J$4:J$52,C550,1)-INDEX(E0!J$4:J$52,D550,1))))*100000000</f>
        <v>0</v>
      </c>
      <c r="F550" s="4" t="str">
        <f>HYPERLINK("http://141.218.60.56/~jnz1568/getInfo.php?workbook=10_02.xlsx&amp;sheet=A0&amp;row=550&amp;col=6&amp;number=&amp;sourceID=27","")</f>
        <v/>
      </c>
      <c r="G550" s="4" t="str">
        <f>HYPERLINK("http://141.218.60.56/~jnz1568/getInfo.php?workbook=10_02.xlsx&amp;sheet=A0&amp;row=550&amp;col=7&amp;number=5246000000&amp;sourceID=32","5246000000")</f>
        <v>5246000000</v>
      </c>
      <c r="H550" s="4" t="str">
        <f>HYPERLINK("http://141.218.60.56/~jnz1568/getInfo.php?workbook=10_02.xlsx&amp;sheet=A0&amp;row=550&amp;col=8&amp;number=&amp;sourceID=32","")</f>
        <v/>
      </c>
      <c r="I550" s="4" t="str">
        <f>HYPERLINK("http://141.218.60.56/~jnz1568/getInfo.php?workbook=10_02.xlsx&amp;sheet=A0&amp;row=550&amp;col=9&amp;number=&amp;sourceID=32","")</f>
        <v/>
      </c>
      <c r="J550" s="4" t="str">
        <f>HYPERLINK("http://141.218.60.56/~jnz1568/getInfo.php?workbook=10_02.xlsx&amp;sheet=A0&amp;row=550&amp;col=10&amp;number=&amp;sourceID=32","")</f>
        <v/>
      </c>
      <c r="K550" s="4" t="str">
        <f>HYPERLINK("http://141.218.60.56/~jnz1568/getInfo.php?workbook=10_02.xlsx&amp;sheet=A0&amp;row=550&amp;col=11&amp;number=5234600000&amp;sourceID=46","5234600000")</f>
        <v>5234600000</v>
      </c>
      <c r="L550" s="4" t="str">
        <f>HYPERLINK("http://141.218.60.56/~jnz1568/getInfo.php?workbook=10_02.xlsx&amp;sheet=A0&amp;row=550&amp;col=12&amp;number=&amp;sourceID=47","")</f>
        <v/>
      </c>
    </row>
    <row r="551" spans="1:12">
      <c r="A551" s="3">
        <v>10</v>
      </c>
      <c r="B551" s="3">
        <v>2</v>
      </c>
      <c r="C551" s="3">
        <v>37</v>
      </c>
      <c r="D551" s="3">
        <v>20</v>
      </c>
      <c r="E551" s="3">
        <f>((1/(INDEX(E0!J$4:J$52,C551,1)-INDEX(E0!J$4:J$52,D551,1))))*100000000</f>
        <v>0</v>
      </c>
      <c r="F551" s="4" t="str">
        <f>HYPERLINK("http://141.218.60.56/~jnz1568/getInfo.php?workbook=10_02.xlsx&amp;sheet=A0&amp;row=551&amp;col=6&amp;number=&amp;sourceID=27","")</f>
        <v/>
      </c>
      <c r="G551" s="4" t="str">
        <f>HYPERLINK("http://141.218.60.56/~jnz1568/getInfo.php?workbook=10_02.xlsx&amp;sheet=A0&amp;row=551&amp;col=7&amp;number=3935000000&amp;sourceID=32","3935000000")</f>
        <v>3935000000</v>
      </c>
      <c r="H551" s="4" t="str">
        <f>HYPERLINK("http://141.218.60.56/~jnz1568/getInfo.php?workbook=10_02.xlsx&amp;sheet=A0&amp;row=551&amp;col=8&amp;number=&amp;sourceID=32","")</f>
        <v/>
      </c>
      <c r="I551" s="4" t="str">
        <f>HYPERLINK("http://141.218.60.56/~jnz1568/getInfo.php?workbook=10_02.xlsx&amp;sheet=A0&amp;row=551&amp;col=9&amp;number=&amp;sourceID=32","")</f>
        <v/>
      </c>
      <c r="J551" s="4" t="str">
        <f>HYPERLINK("http://141.218.60.56/~jnz1568/getInfo.php?workbook=10_02.xlsx&amp;sheet=A0&amp;row=551&amp;col=10&amp;number=0.1011&amp;sourceID=32","0.1011")</f>
        <v>0.1011</v>
      </c>
      <c r="K551" s="4" t="str">
        <f>HYPERLINK("http://141.218.60.56/~jnz1568/getInfo.php?workbook=10_02.xlsx&amp;sheet=A0&amp;row=551&amp;col=11&amp;number=3926900000&amp;sourceID=46","3926900000")</f>
        <v>3926900000</v>
      </c>
      <c r="L551" s="4" t="str">
        <f>HYPERLINK("http://141.218.60.56/~jnz1568/getInfo.php?workbook=10_02.xlsx&amp;sheet=A0&amp;row=551&amp;col=12&amp;number=&amp;sourceID=47","")</f>
        <v/>
      </c>
    </row>
    <row r="552" spans="1:12">
      <c r="A552" s="3">
        <v>10</v>
      </c>
      <c r="B552" s="3">
        <v>2</v>
      </c>
      <c r="C552" s="3">
        <v>37</v>
      </c>
      <c r="D552" s="3">
        <v>21</v>
      </c>
      <c r="E552" s="3">
        <f>((1/(INDEX(E0!J$4:J$52,C552,1)-INDEX(E0!J$4:J$52,D552,1))))*100000000</f>
        <v>0</v>
      </c>
      <c r="F552" s="4" t="str">
        <f>HYPERLINK("http://141.218.60.56/~jnz1568/getInfo.php?workbook=10_02.xlsx&amp;sheet=A0&amp;row=552&amp;col=6&amp;number=&amp;sourceID=27","")</f>
        <v/>
      </c>
      <c r="G552" s="4" t="str">
        <f>HYPERLINK("http://141.218.60.56/~jnz1568/getInfo.php?workbook=10_02.xlsx&amp;sheet=A0&amp;row=552&amp;col=7&amp;number=&amp;sourceID=32","")</f>
        <v/>
      </c>
      <c r="H552" s="4" t="str">
        <f>HYPERLINK("http://141.218.60.56/~jnz1568/getInfo.php?workbook=10_02.xlsx&amp;sheet=A0&amp;row=552&amp;col=8&amp;number=&amp;sourceID=32","")</f>
        <v/>
      </c>
      <c r="I552" s="4" t="str">
        <f>HYPERLINK("http://141.218.60.56/~jnz1568/getInfo.php?workbook=10_02.xlsx&amp;sheet=A0&amp;row=552&amp;col=9&amp;number=2.856e-05&amp;sourceID=32","2.856e-05")</f>
        <v>2.856e-05</v>
      </c>
      <c r="J552" s="4" t="str">
        <f>HYPERLINK("http://141.218.60.56/~jnz1568/getInfo.php?workbook=10_02.xlsx&amp;sheet=A0&amp;row=552&amp;col=10&amp;number=&amp;sourceID=32","")</f>
        <v/>
      </c>
      <c r="K552" s="4" t="str">
        <f>HYPERLINK("http://141.218.60.56/~jnz1568/getInfo.php?workbook=10_02.xlsx&amp;sheet=A0&amp;row=552&amp;col=11&amp;number=&amp;sourceID=46","")</f>
        <v/>
      </c>
      <c r="L552" s="4" t="str">
        <f>HYPERLINK("http://141.218.60.56/~jnz1568/getInfo.php?workbook=10_02.xlsx&amp;sheet=A0&amp;row=552&amp;col=12&amp;number=&amp;sourceID=47","")</f>
        <v/>
      </c>
    </row>
    <row r="553" spans="1:12">
      <c r="A553" s="3">
        <v>10</v>
      </c>
      <c r="B553" s="3">
        <v>2</v>
      </c>
      <c r="C553" s="3">
        <v>37</v>
      </c>
      <c r="D553" s="3">
        <v>22</v>
      </c>
      <c r="E553" s="3">
        <f>((1/(INDEX(E0!J$4:J$52,C553,1)-INDEX(E0!J$4:J$52,D553,1))))*100000000</f>
        <v>0</v>
      </c>
      <c r="F553" s="4" t="str">
        <f>HYPERLINK("http://141.218.60.56/~jnz1568/getInfo.php?workbook=10_02.xlsx&amp;sheet=A0&amp;row=553&amp;col=6&amp;number=&amp;sourceID=27","")</f>
        <v/>
      </c>
      <c r="G553" s="4" t="str">
        <f>HYPERLINK("http://141.218.60.56/~jnz1568/getInfo.php?workbook=10_02.xlsx&amp;sheet=A0&amp;row=553&amp;col=7&amp;number=262400000&amp;sourceID=32","262400000")</f>
        <v>262400000</v>
      </c>
      <c r="H553" s="4" t="str">
        <f>HYPERLINK("http://141.218.60.56/~jnz1568/getInfo.php?workbook=10_02.xlsx&amp;sheet=A0&amp;row=553&amp;col=8&amp;number=&amp;sourceID=32","")</f>
        <v/>
      </c>
      <c r="I553" s="4" t="str">
        <f>HYPERLINK("http://141.218.60.56/~jnz1568/getInfo.php?workbook=10_02.xlsx&amp;sheet=A0&amp;row=553&amp;col=9&amp;number=&amp;sourceID=32","")</f>
        <v/>
      </c>
      <c r="J553" s="4" t="str">
        <f>HYPERLINK("http://141.218.60.56/~jnz1568/getInfo.php?workbook=10_02.xlsx&amp;sheet=A0&amp;row=553&amp;col=10&amp;number=4.808e-08&amp;sourceID=32","4.808e-08")</f>
        <v>4.808e-08</v>
      </c>
      <c r="K553" s="4" t="str">
        <f>HYPERLINK("http://141.218.60.56/~jnz1568/getInfo.php?workbook=10_02.xlsx&amp;sheet=A0&amp;row=553&amp;col=11&amp;number=261720000&amp;sourceID=46","261720000")</f>
        <v>261720000</v>
      </c>
      <c r="L553" s="4" t="str">
        <f>HYPERLINK("http://141.218.60.56/~jnz1568/getInfo.php?workbook=10_02.xlsx&amp;sheet=A0&amp;row=553&amp;col=12&amp;number=&amp;sourceID=47","")</f>
        <v/>
      </c>
    </row>
    <row r="554" spans="1:12">
      <c r="A554" s="3">
        <v>10</v>
      </c>
      <c r="B554" s="3">
        <v>2</v>
      </c>
      <c r="C554" s="3">
        <v>37</v>
      </c>
      <c r="D554" s="3">
        <v>23</v>
      </c>
      <c r="E554" s="3">
        <f>((1/(INDEX(E0!J$4:J$52,C554,1)-INDEX(E0!J$4:J$52,D554,1))))*100000000</f>
        <v>0</v>
      </c>
      <c r="F554" s="4" t="str">
        <f>HYPERLINK("http://141.218.60.56/~jnz1568/getInfo.php?workbook=10_02.xlsx&amp;sheet=A0&amp;row=554&amp;col=6&amp;number=&amp;sourceID=27","")</f>
        <v/>
      </c>
      <c r="G554" s="4" t="str">
        <f>HYPERLINK("http://141.218.60.56/~jnz1568/getInfo.php?workbook=10_02.xlsx&amp;sheet=A0&amp;row=554&amp;col=7&amp;number=&amp;sourceID=32","")</f>
        <v/>
      </c>
      <c r="H554" s="4" t="str">
        <f>HYPERLINK("http://141.218.60.56/~jnz1568/getInfo.php?workbook=10_02.xlsx&amp;sheet=A0&amp;row=554&amp;col=8&amp;number=49430&amp;sourceID=32","49430")</f>
        <v>49430</v>
      </c>
      <c r="I554" s="4" t="str">
        <f>HYPERLINK("http://141.218.60.56/~jnz1568/getInfo.php?workbook=10_02.xlsx&amp;sheet=A0&amp;row=554&amp;col=9&amp;number=0.002766&amp;sourceID=32","0.002766")</f>
        <v>0.002766</v>
      </c>
      <c r="J554" s="4" t="str">
        <f>HYPERLINK("http://141.218.60.56/~jnz1568/getInfo.php?workbook=10_02.xlsx&amp;sheet=A0&amp;row=554&amp;col=10&amp;number=&amp;sourceID=32","")</f>
        <v/>
      </c>
      <c r="K554" s="4" t="str">
        <f>HYPERLINK("http://141.218.60.56/~jnz1568/getInfo.php?workbook=10_02.xlsx&amp;sheet=A0&amp;row=554&amp;col=11&amp;number=49434&amp;sourceID=46","49434")</f>
        <v>49434</v>
      </c>
      <c r="L554" s="4" t="str">
        <f>HYPERLINK("http://141.218.60.56/~jnz1568/getInfo.php?workbook=10_02.xlsx&amp;sheet=A0&amp;row=554&amp;col=12&amp;number=&amp;sourceID=47","")</f>
        <v/>
      </c>
    </row>
    <row r="555" spans="1:12">
      <c r="A555" s="3">
        <v>10</v>
      </c>
      <c r="B555" s="3">
        <v>2</v>
      </c>
      <c r="C555" s="3">
        <v>37</v>
      </c>
      <c r="D555" s="3">
        <v>24</v>
      </c>
      <c r="E555" s="3">
        <f>((1/(INDEX(E0!J$4:J$52,C555,1)-INDEX(E0!J$4:J$52,D555,1))))*100000000</f>
        <v>0</v>
      </c>
      <c r="F555" s="4" t="str">
        <f>HYPERLINK("http://141.218.60.56/~jnz1568/getInfo.php?workbook=10_02.xlsx&amp;sheet=A0&amp;row=555&amp;col=6&amp;number=&amp;sourceID=27","")</f>
        <v/>
      </c>
      <c r="G555" s="4" t="str">
        <f>HYPERLINK("http://141.218.60.56/~jnz1568/getInfo.php?workbook=10_02.xlsx&amp;sheet=A0&amp;row=555&amp;col=7&amp;number=&amp;sourceID=32","")</f>
        <v/>
      </c>
      <c r="H555" s="4" t="str">
        <f>HYPERLINK("http://141.218.60.56/~jnz1568/getInfo.php?workbook=10_02.xlsx&amp;sheet=A0&amp;row=555&amp;col=8&amp;number=80280&amp;sourceID=32","80280")</f>
        <v>80280</v>
      </c>
      <c r="I555" s="4" t="str">
        <f>HYPERLINK("http://141.218.60.56/~jnz1568/getInfo.php?workbook=10_02.xlsx&amp;sheet=A0&amp;row=555&amp;col=9&amp;number=0.0001137&amp;sourceID=32","0.0001137")</f>
        <v>0.0001137</v>
      </c>
      <c r="J555" s="4" t="str">
        <f>HYPERLINK("http://141.218.60.56/~jnz1568/getInfo.php?workbook=10_02.xlsx&amp;sheet=A0&amp;row=555&amp;col=10&amp;number=&amp;sourceID=32","")</f>
        <v/>
      </c>
      <c r="K555" s="4" t="str">
        <f>HYPERLINK("http://141.218.60.56/~jnz1568/getInfo.php?workbook=10_02.xlsx&amp;sheet=A0&amp;row=555&amp;col=11&amp;number=81118&amp;sourceID=46","81118")</f>
        <v>81118</v>
      </c>
      <c r="L555" s="4" t="str">
        <f>HYPERLINK("http://141.218.60.56/~jnz1568/getInfo.php?workbook=10_02.xlsx&amp;sheet=A0&amp;row=555&amp;col=12&amp;number=&amp;sourceID=47","")</f>
        <v/>
      </c>
    </row>
    <row r="556" spans="1:12">
      <c r="A556" s="3">
        <v>10</v>
      </c>
      <c r="B556" s="3">
        <v>2</v>
      </c>
      <c r="C556" s="3">
        <v>37</v>
      </c>
      <c r="D556" s="3">
        <v>25</v>
      </c>
      <c r="E556" s="3">
        <f>((1/(INDEX(E0!J$4:J$52,C556,1)-INDEX(E0!J$4:J$52,D556,1))))*100000000</f>
        <v>0</v>
      </c>
      <c r="F556" s="4" t="str">
        <f>HYPERLINK("http://141.218.60.56/~jnz1568/getInfo.php?workbook=10_02.xlsx&amp;sheet=A0&amp;row=556&amp;col=6&amp;number=&amp;sourceID=27","")</f>
        <v/>
      </c>
      <c r="G556" s="4" t="str">
        <f>HYPERLINK("http://141.218.60.56/~jnz1568/getInfo.php?workbook=10_02.xlsx&amp;sheet=A0&amp;row=556&amp;col=7&amp;number=&amp;sourceID=32","")</f>
        <v/>
      </c>
      <c r="H556" s="4" t="str">
        <f>HYPERLINK("http://141.218.60.56/~jnz1568/getInfo.php?workbook=10_02.xlsx&amp;sheet=A0&amp;row=556&amp;col=8&amp;number=9413&amp;sourceID=32","9413")</f>
        <v>9413</v>
      </c>
      <c r="I556" s="4" t="str">
        <f>HYPERLINK("http://141.218.60.56/~jnz1568/getInfo.php?workbook=10_02.xlsx&amp;sheet=A0&amp;row=556&amp;col=9&amp;number=&amp;sourceID=32","")</f>
        <v/>
      </c>
      <c r="J556" s="4" t="str">
        <f>HYPERLINK("http://141.218.60.56/~jnz1568/getInfo.php?workbook=10_02.xlsx&amp;sheet=A0&amp;row=556&amp;col=10&amp;number=&amp;sourceID=32","")</f>
        <v/>
      </c>
      <c r="K556" s="4" t="str">
        <f>HYPERLINK("http://141.218.60.56/~jnz1568/getInfo.php?workbook=10_02.xlsx&amp;sheet=A0&amp;row=556&amp;col=11&amp;number=9412&amp;sourceID=46","9412")</f>
        <v>9412</v>
      </c>
      <c r="L556" s="4" t="str">
        <f>HYPERLINK("http://141.218.60.56/~jnz1568/getInfo.php?workbook=10_02.xlsx&amp;sheet=A0&amp;row=556&amp;col=12&amp;number=&amp;sourceID=47","")</f>
        <v/>
      </c>
    </row>
    <row r="557" spans="1:12">
      <c r="A557" s="3">
        <v>10</v>
      </c>
      <c r="B557" s="3">
        <v>2</v>
      </c>
      <c r="C557" s="3">
        <v>37</v>
      </c>
      <c r="D557" s="3">
        <v>26</v>
      </c>
      <c r="E557" s="3">
        <f>((1/(INDEX(E0!J$4:J$52,C557,1)-INDEX(E0!J$4:J$52,D557,1))))*100000000</f>
        <v>0</v>
      </c>
      <c r="F557" s="4" t="str">
        <f>HYPERLINK("http://141.218.60.56/~jnz1568/getInfo.php?workbook=10_02.xlsx&amp;sheet=A0&amp;row=557&amp;col=6&amp;number=&amp;sourceID=27","")</f>
        <v/>
      </c>
      <c r="G557" s="4" t="str">
        <f>HYPERLINK("http://141.218.60.56/~jnz1568/getInfo.php?workbook=10_02.xlsx&amp;sheet=A0&amp;row=557&amp;col=7&amp;number=&amp;sourceID=32","")</f>
        <v/>
      </c>
      <c r="H557" s="4" t="str">
        <f>HYPERLINK("http://141.218.60.56/~jnz1568/getInfo.php?workbook=10_02.xlsx&amp;sheet=A0&amp;row=557&amp;col=8&amp;number=&amp;sourceID=32","")</f>
        <v/>
      </c>
      <c r="I557" s="4" t="str">
        <f>HYPERLINK("http://141.218.60.56/~jnz1568/getInfo.php?workbook=10_02.xlsx&amp;sheet=A0&amp;row=557&amp;col=9&amp;number=&amp;sourceID=32","")</f>
        <v/>
      </c>
      <c r="J557" s="4" t="str">
        <f>HYPERLINK("http://141.218.60.56/~jnz1568/getInfo.php?workbook=10_02.xlsx&amp;sheet=A0&amp;row=557&amp;col=10&amp;number=0.007091&amp;sourceID=32","0.007091")</f>
        <v>0.007091</v>
      </c>
      <c r="K557" s="4" t="str">
        <f>HYPERLINK("http://141.218.60.56/~jnz1568/getInfo.php?workbook=10_02.xlsx&amp;sheet=A0&amp;row=557&amp;col=11&amp;number=&amp;sourceID=46","")</f>
        <v/>
      </c>
      <c r="L557" s="4" t="str">
        <f>HYPERLINK("http://141.218.60.56/~jnz1568/getInfo.php?workbook=10_02.xlsx&amp;sheet=A0&amp;row=557&amp;col=12&amp;number=&amp;sourceID=47","")</f>
        <v/>
      </c>
    </row>
    <row r="558" spans="1:12">
      <c r="A558" s="3">
        <v>10</v>
      </c>
      <c r="B558" s="3">
        <v>2</v>
      </c>
      <c r="C558" s="3">
        <v>37</v>
      </c>
      <c r="D558" s="3">
        <v>27</v>
      </c>
      <c r="E558" s="3">
        <f>((1/(INDEX(E0!J$4:J$52,C558,1)-INDEX(E0!J$4:J$52,D558,1))))*100000000</f>
        <v>0</v>
      </c>
      <c r="F558" s="4" t="str">
        <f>HYPERLINK("http://141.218.60.56/~jnz1568/getInfo.php?workbook=10_02.xlsx&amp;sheet=A0&amp;row=558&amp;col=6&amp;number=&amp;sourceID=27","")</f>
        <v/>
      </c>
      <c r="G558" s="4" t="str">
        <f>HYPERLINK("http://141.218.60.56/~jnz1568/getInfo.php?workbook=10_02.xlsx&amp;sheet=A0&amp;row=558&amp;col=7&amp;number=337100000&amp;sourceID=32","337100000")</f>
        <v>337100000</v>
      </c>
      <c r="H558" s="4" t="str">
        <f>HYPERLINK("http://141.218.60.56/~jnz1568/getInfo.php?workbook=10_02.xlsx&amp;sheet=A0&amp;row=558&amp;col=8&amp;number=&amp;sourceID=32","")</f>
        <v/>
      </c>
      <c r="I558" s="4" t="str">
        <f>HYPERLINK("http://141.218.60.56/~jnz1568/getInfo.php?workbook=10_02.xlsx&amp;sheet=A0&amp;row=558&amp;col=9&amp;number=&amp;sourceID=32","")</f>
        <v/>
      </c>
      <c r="J558" s="4" t="str">
        <f>HYPERLINK("http://141.218.60.56/~jnz1568/getInfo.php?workbook=10_02.xlsx&amp;sheet=A0&amp;row=558&amp;col=10&amp;number=0.02753&amp;sourceID=32","0.02753")</f>
        <v>0.02753</v>
      </c>
      <c r="K558" s="4" t="str">
        <f>HYPERLINK("http://141.218.60.56/~jnz1568/getInfo.php?workbook=10_02.xlsx&amp;sheet=A0&amp;row=558&amp;col=11&amp;number=337330000&amp;sourceID=46","337330000")</f>
        <v>337330000</v>
      </c>
      <c r="L558" s="4" t="str">
        <f>HYPERLINK("http://141.218.60.56/~jnz1568/getInfo.php?workbook=10_02.xlsx&amp;sheet=A0&amp;row=558&amp;col=12&amp;number=&amp;sourceID=47","")</f>
        <v/>
      </c>
    </row>
    <row r="559" spans="1:12">
      <c r="A559" s="3">
        <v>10</v>
      </c>
      <c r="B559" s="3">
        <v>2</v>
      </c>
      <c r="C559" s="3">
        <v>37</v>
      </c>
      <c r="D559" s="3">
        <v>29</v>
      </c>
      <c r="E559" s="3">
        <f>((1/(INDEX(E0!J$4:J$52,C559,1)-INDEX(E0!J$4:J$52,D559,1))))*100000000</f>
        <v>0</v>
      </c>
      <c r="F559" s="4" t="str">
        <f>HYPERLINK("http://141.218.60.56/~jnz1568/getInfo.php?workbook=10_02.xlsx&amp;sheet=A0&amp;row=559&amp;col=6&amp;number=&amp;sourceID=27","")</f>
        <v/>
      </c>
      <c r="G559" s="4" t="str">
        <f>HYPERLINK("http://141.218.60.56/~jnz1568/getInfo.php?workbook=10_02.xlsx&amp;sheet=A0&amp;row=559&amp;col=7&amp;number=&amp;sourceID=32","")</f>
        <v/>
      </c>
      <c r="H559" s="4" t="str">
        <f>HYPERLINK("http://141.218.60.56/~jnz1568/getInfo.php?workbook=10_02.xlsx&amp;sheet=A0&amp;row=559&amp;col=8&amp;number=2292&amp;sourceID=32","2292")</f>
        <v>2292</v>
      </c>
      <c r="I559" s="4" t="str">
        <f>HYPERLINK("http://141.218.60.56/~jnz1568/getInfo.php?workbook=10_02.xlsx&amp;sheet=A0&amp;row=559&amp;col=9&amp;number=0.02166&amp;sourceID=32","0.02166")</f>
        <v>0.02166</v>
      </c>
      <c r="J559" s="4" t="str">
        <f>HYPERLINK("http://141.218.60.56/~jnz1568/getInfo.php?workbook=10_02.xlsx&amp;sheet=A0&amp;row=559&amp;col=10&amp;number=&amp;sourceID=32","")</f>
        <v/>
      </c>
      <c r="K559" s="4" t="str">
        <f>HYPERLINK("http://141.218.60.56/~jnz1568/getInfo.php?workbook=10_02.xlsx&amp;sheet=A0&amp;row=559&amp;col=11&amp;number=1444.4&amp;sourceID=46","1444.4")</f>
        <v>1444.4</v>
      </c>
      <c r="L559" s="4" t="str">
        <f>HYPERLINK("http://141.218.60.56/~jnz1568/getInfo.php?workbook=10_02.xlsx&amp;sheet=A0&amp;row=559&amp;col=12&amp;number=&amp;sourceID=47","")</f>
        <v/>
      </c>
    </row>
    <row r="560" spans="1:12">
      <c r="A560" s="3">
        <v>10</v>
      </c>
      <c r="B560" s="3">
        <v>2</v>
      </c>
      <c r="C560" s="3">
        <v>37</v>
      </c>
      <c r="D560" s="3">
        <v>30</v>
      </c>
      <c r="E560" s="3">
        <f>((1/(INDEX(E0!J$4:J$52,C560,1)-INDEX(E0!J$4:J$52,D560,1))))*100000000</f>
        <v>0</v>
      </c>
      <c r="F560" s="4" t="str">
        <f>HYPERLINK("http://141.218.60.56/~jnz1568/getInfo.php?workbook=10_02.xlsx&amp;sheet=A0&amp;row=560&amp;col=6&amp;number=&amp;sourceID=27","")</f>
        <v/>
      </c>
      <c r="G560" s="4" t="str">
        <f>HYPERLINK("http://141.218.60.56/~jnz1568/getInfo.php?workbook=10_02.xlsx&amp;sheet=A0&amp;row=560&amp;col=7&amp;number=&amp;sourceID=32","")</f>
        <v/>
      </c>
      <c r="H560" s="4" t="str">
        <f>HYPERLINK("http://141.218.60.56/~jnz1568/getInfo.php?workbook=10_02.xlsx&amp;sheet=A0&amp;row=560&amp;col=8&amp;number=&amp;sourceID=32","")</f>
        <v/>
      </c>
      <c r="I560" s="4" t="str">
        <f>HYPERLINK("http://141.218.60.56/~jnz1568/getInfo.php?workbook=10_02.xlsx&amp;sheet=A0&amp;row=560&amp;col=9&amp;number=&amp;sourceID=32","")</f>
        <v/>
      </c>
      <c r="J560" s="4" t="str">
        <f>HYPERLINK("http://141.218.60.56/~jnz1568/getInfo.php?workbook=10_02.xlsx&amp;sheet=A0&amp;row=560&amp;col=10&amp;number=0.06127&amp;sourceID=32","0.06127")</f>
        <v>0.06127</v>
      </c>
      <c r="K560" s="4" t="str">
        <f>HYPERLINK("http://141.218.60.56/~jnz1568/getInfo.php?workbook=10_02.xlsx&amp;sheet=A0&amp;row=560&amp;col=11&amp;number=&amp;sourceID=46","")</f>
        <v/>
      </c>
      <c r="L560" s="4" t="str">
        <f>HYPERLINK("http://141.218.60.56/~jnz1568/getInfo.php?workbook=10_02.xlsx&amp;sheet=A0&amp;row=560&amp;col=12&amp;number=&amp;sourceID=47","")</f>
        <v/>
      </c>
    </row>
    <row r="561" spans="1:12">
      <c r="A561" s="3">
        <v>10</v>
      </c>
      <c r="B561" s="3">
        <v>2</v>
      </c>
      <c r="C561" s="3">
        <v>37</v>
      </c>
      <c r="D561" s="3">
        <v>31</v>
      </c>
      <c r="E561" s="3">
        <f>((1/(INDEX(E0!J$4:J$52,C561,1)-INDEX(E0!J$4:J$52,D561,1))))*100000000</f>
        <v>0</v>
      </c>
      <c r="F561" s="4" t="str">
        <f>HYPERLINK("http://141.218.60.56/~jnz1568/getInfo.php?workbook=10_02.xlsx&amp;sheet=A0&amp;row=561&amp;col=6&amp;number=&amp;sourceID=27","")</f>
        <v/>
      </c>
      <c r="G561" s="4" t="str">
        <f>HYPERLINK("http://141.218.60.56/~jnz1568/getInfo.php?workbook=10_02.xlsx&amp;sheet=A0&amp;row=561&amp;col=7&amp;number=2778000&amp;sourceID=32","2778000")</f>
        <v>2778000</v>
      </c>
      <c r="H561" s="4" t="str">
        <f>HYPERLINK("http://141.218.60.56/~jnz1568/getInfo.php?workbook=10_02.xlsx&amp;sheet=A0&amp;row=561&amp;col=8&amp;number=&amp;sourceID=32","")</f>
        <v/>
      </c>
      <c r="I561" s="4" t="str">
        <f>HYPERLINK("http://141.218.60.56/~jnz1568/getInfo.php?workbook=10_02.xlsx&amp;sheet=A0&amp;row=561&amp;col=9&amp;number=&amp;sourceID=32","")</f>
        <v/>
      </c>
      <c r="J561" s="4" t="str">
        <f>HYPERLINK("http://141.218.60.56/~jnz1568/getInfo.php?workbook=10_02.xlsx&amp;sheet=A0&amp;row=561&amp;col=10&amp;number=0.04423&amp;sourceID=32","0.04423")</f>
        <v>0.04423</v>
      </c>
      <c r="K561" s="4" t="str">
        <f>HYPERLINK("http://141.218.60.56/~jnz1568/getInfo.php?workbook=10_02.xlsx&amp;sheet=A0&amp;row=561&amp;col=11&amp;number=1856200&amp;sourceID=46","1856200")</f>
        <v>1856200</v>
      </c>
      <c r="L561" s="4" t="str">
        <f>HYPERLINK("http://141.218.60.56/~jnz1568/getInfo.php?workbook=10_02.xlsx&amp;sheet=A0&amp;row=561&amp;col=12&amp;number=&amp;sourceID=47","")</f>
        <v/>
      </c>
    </row>
    <row r="562" spans="1:12">
      <c r="A562" s="3">
        <v>10</v>
      </c>
      <c r="B562" s="3">
        <v>2</v>
      </c>
      <c r="C562" s="3">
        <v>37</v>
      </c>
      <c r="D562" s="3">
        <v>32</v>
      </c>
      <c r="E562" s="3">
        <f>((1/(INDEX(E0!J$4:J$52,C562,1)-INDEX(E0!J$4:J$52,D562,1))))*100000000</f>
        <v>0</v>
      </c>
      <c r="F562" s="4" t="str">
        <f>HYPERLINK("http://141.218.60.56/~jnz1568/getInfo.php?workbook=10_02.xlsx&amp;sheet=A0&amp;row=562&amp;col=6&amp;number=&amp;sourceID=27","")</f>
        <v/>
      </c>
      <c r="G562" s="4" t="str">
        <f>HYPERLINK("http://141.218.60.56/~jnz1568/getInfo.php?workbook=10_02.xlsx&amp;sheet=A0&amp;row=562&amp;col=7&amp;number=&amp;sourceID=32","")</f>
        <v/>
      </c>
      <c r="H562" s="4" t="str">
        <f>HYPERLINK("http://141.218.60.56/~jnz1568/getInfo.php?workbook=10_02.xlsx&amp;sheet=A0&amp;row=562&amp;col=8&amp;number=0.1087&amp;sourceID=32","0.1087")</f>
        <v>0.1087</v>
      </c>
      <c r="I562" s="4" t="str">
        <f>HYPERLINK("http://141.218.60.56/~jnz1568/getInfo.php?workbook=10_02.xlsx&amp;sheet=A0&amp;row=562&amp;col=9&amp;number=3.426e-06&amp;sourceID=32","3.426e-06")</f>
        <v>3.426e-06</v>
      </c>
      <c r="J562" s="4" t="str">
        <f>HYPERLINK("http://141.218.60.56/~jnz1568/getInfo.php?workbook=10_02.xlsx&amp;sheet=A0&amp;row=562&amp;col=10&amp;number=&amp;sourceID=32","")</f>
        <v/>
      </c>
      <c r="K562" s="4" t="str">
        <f>HYPERLINK("http://141.218.60.56/~jnz1568/getInfo.php?workbook=10_02.xlsx&amp;sheet=A0&amp;row=562&amp;col=11&amp;number=&amp;sourceID=46","")</f>
        <v/>
      </c>
      <c r="L562" s="4" t="str">
        <f>HYPERLINK("http://141.218.60.56/~jnz1568/getInfo.php?workbook=10_02.xlsx&amp;sheet=A0&amp;row=562&amp;col=12&amp;number=&amp;sourceID=47","")</f>
        <v/>
      </c>
    </row>
    <row r="563" spans="1:12">
      <c r="A563" s="3">
        <v>10</v>
      </c>
      <c r="B563" s="3">
        <v>2</v>
      </c>
      <c r="C563" s="3">
        <v>37</v>
      </c>
      <c r="D563" s="3">
        <v>33</v>
      </c>
      <c r="E563" s="3">
        <f>((1/(INDEX(E0!J$4:J$52,C563,1)-INDEX(E0!J$4:J$52,D563,1))))*100000000</f>
        <v>0</v>
      </c>
      <c r="F563" s="4" t="str">
        <f>HYPERLINK("http://141.218.60.56/~jnz1568/getInfo.php?workbook=10_02.xlsx&amp;sheet=A0&amp;row=563&amp;col=6&amp;number=&amp;sourceID=27","")</f>
        <v/>
      </c>
      <c r="G563" s="4" t="str">
        <f>HYPERLINK("http://141.218.60.56/~jnz1568/getInfo.php?workbook=10_02.xlsx&amp;sheet=A0&amp;row=563&amp;col=7&amp;number=106100&amp;sourceID=32","106100")</f>
        <v>106100</v>
      </c>
      <c r="H563" s="4" t="str">
        <f>HYPERLINK("http://141.218.60.56/~jnz1568/getInfo.php?workbook=10_02.xlsx&amp;sheet=A0&amp;row=563&amp;col=8&amp;number=&amp;sourceID=32","")</f>
        <v/>
      </c>
      <c r="I563" s="4" t="str">
        <f>HYPERLINK("http://141.218.60.56/~jnz1568/getInfo.php?workbook=10_02.xlsx&amp;sheet=A0&amp;row=563&amp;col=9&amp;number=&amp;sourceID=32","")</f>
        <v/>
      </c>
      <c r="J563" s="4" t="str">
        <f>HYPERLINK("http://141.218.60.56/~jnz1568/getInfo.php?workbook=10_02.xlsx&amp;sheet=A0&amp;row=563&amp;col=10&amp;number=&amp;sourceID=32","")</f>
        <v/>
      </c>
      <c r="K563" s="4" t="str">
        <f>HYPERLINK("http://141.218.60.56/~jnz1568/getInfo.php?workbook=10_02.xlsx&amp;sheet=A0&amp;row=563&amp;col=11&amp;number=116400&amp;sourceID=46","116400")</f>
        <v>116400</v>
      </c>
      <c r="L563" s="4" t="str">
        <f>HYPERLINK("http://141.218.60.56/~jnz1568/getInfo.php?workbook=10_02.xlsx&amp;sheet=A0&amp;row=563&amp;col=12&amp;number=&amp;sourceID=47","")</f>
        <v/>
      </c>
    </row>
    <row r="564" spans="1:12">
      <c r="A564" s="3">
        <v>10</v>
      </c>
      <c r="B564" s="3">
        <v>2</v>
      </c>
      <c r="C564" s="3">
        <v>37</v>
      </c>
      <c r="D564" s="3">
        <v>34</v>
      </c>
      <c r="E564" s="3">
        <f>((1/(INDEX(E0!J$4:J$52,C564,1)-INDEX(E0!J$4:J$52,D564,1))))*100000000</f>
        <v>0</v>
      </c>
      <c r="F564" s="4" t="str">
        <f>HYPERLINK("http://141.218.60.56/~jnz1568/getInfo.php?workbook=10_02.xlsx&amp;sheet=A0&amp;row=564&amp;col=6&amp;number=&amp;sourceID=27","")</f>
        <v/>
      </c>
      <c r="G564" s="4" t="str">
        <f>HYPERLINK("http://141.218.60.56/~jnz1568/getInfo.php?workbook=10_02.xlsx&amp;sheet=A0&amp;row=564&amp;col=7&amp;number=&amp;sourceID=32","")</f>
        <v/>
      </c>
      <c r="H564" s="4" t="str">
        <f>HYPERLINK("http://141.218.60.56/~jnz1568/getInfo.php?workbook=10_02.xlsx&amp;sheet=A0&amp;row=564&amp;col=8&amp;number=&amp;sourceID=32","")</f>
        <v/>
      </c>
      <c r="I564" s="4" t="str">
        <f>HYPERLINK("http://141.218.60.56/~jnz1568/getInfo.php?workbook=10_02.xlsx&amp;sheet=A0&amp;row=564&amp;col=9&amp;number=7.849e-11&amp;sourceID=32","7.849e-11")</f>
        <v>7.849e-11</v>
      </c>
      <c r="J564" s="4" t="str">
        <f>HYPERLINK("http://141.218.60.56/~jnz1568/getInfo.php?workbook=10_02.xlsx&amp;sheet=A0&amp;row=564&amp;col=10&amp;number=&amp;sourceID=32","")</f>
        <v/>
      </c>
      <c r="K564" s="4" t="str">
        <f>HYPERLINK("http://141.218.60.56/~jnz1568/getInfo.php?workbook=10_02.xlsx&amp;sheet=A0&amp;row=564&amp;col=11&amp;number=&amp;sourceID=46","")</f>
        <v/>
      </c>
      <c r="L564" s="4" t="str">
        <f>HYPERLINK("http://141.218.60.56/~jnz1568/getInfo.php?workbook=10_02.xlsx&amp;sheet=A0&amp;row=564&amp;col=12&amp;number=&amp;sourceID=47","")</f>
        <v/>
      </c>
    </row>
    <row r="565" spans="1:12">
      <c r="A565" s="3">
        <v>10</v>
      </c>
      <c r="B565" s="3">
        <v>2</v>
      </c>
      <c r="C565" s="3">
        <v>37</v>
      </c>
      <c r="D565" s="3">
        <v>35</v>
      </c>
      <c r="E565" s="3">
        <f>((1/(INDEX(E0!J$4:J$52,C565,1)-INDEX(E0!J$4:J$52,D565,1))))*100000000</f>
        <v>0</v>
      </c>
      <c r="F565" s="4" t="str">
        <f>HYPERLINK("http://141.218.60.56/~jnz1568/getInfo.php?workbook=10_02.xlsx&amp;sheet=A0&amp;row=565&amp;col=6&amp;number=&amp;sourceID=27","")</f>
        <v/>
      </c>
      <c r="G565" s="4" t="str">
        <f>HYPERLINK("http://141.218.60.56/~jnz1568/getInfo.php?workbook=10_02.xlsx&amp;sheet=A0&amp;row=565&amp;col=7&amp;number=77200&amp;sourceID=32","77200")</f>
        <v>77200</v>
      </c>
      <c r="H565" s="4" t="str">
        <f>HYPERLINK("http://141.218.60.56/~jnz1568/getInfo.php?workbook=10_02.xlsx&amp;sheet=A0&amp;row=565&amp;col=8&amp;number=&amp;sourceID=32","")</f>
        <v/>
      </c>
      <c r="I565" s="4" t="str">
        <f>HYPERLINK("http://141.218.60.56/~jnz1568/getInfo.php?workbook=10_02.xlsx&amp;sheet=A0&amp;row=565&amp;col=9&amp;number=&amp;sourceID=32","")</f>
        <v/>
      </c>
      <c r="J565" s="4" t="str">
        <f>HYPERLINK("http://141.218.60.56/~jnz1568/getInfo.php?workbook=10_02.xlsx&amp;sheet=A0&amp;row=565&amp;col=10&amp;number=2.951e-10&amp;sourceID=32","2.951e-10")</f>
        <v>2.951e-10</v>
      </c>
      <c r="K565" s="4" t="str">
        <f>HYPERLINK("http://141.218.60.56/~jnz1568/getInfo.php?workbook=10_02.xlsx&amp;sheet=A0&amp;row=565&amp;col=11&amp;number=84216&amp;sourceID=46","84216")</f>
        <v>84216</v>
      </c>
      <c r="L565" s="4" t="str">
        <f>HYPERLINK("http://141.218.60.56/~jnz1568/getInfo.php?workbook=10_02.xlsx&amp;sheet=A0&amp;row=565&amp;col=12&amp;number=&amp;sourceID=47","")</f>
        <v/>
      </c>
    </row>
    <row r="566" spans="1:12">
      <c r="A566" s="3">
        <v>10</v>
      </c>
      <c r="B566" s="3">
        <v>2</v>
      </c>
      <c r="C566" s="3">
        <v>37</v>
      </c>
      <c r="D566" s="3">
        <v>36</v>
      </c>
      <c r="E566" s="3">
        <f>((1/(INDEX(E0!J$4:J$52,C566,1)-INDEX(E0!J$4:J$52,D566,1))))*100000000</f>
        <v>0</v>
      </c>
      <c r="F566" s="4" t="str">
        <f>HYPERLINK("http://141.218.60.56/~jnz1568/getInfo.php?workbook=10_02.xlsx&amp;sheet=A0&amp;row=566&amp;col=6&amp;number=&amp;sourceID=27","")</f>
        <v/>
      </c>
      <c r="G566" s="4" t="str">
        <f>HYPERLINK("http://141.218.60.56/~jnz1568/getInfo.php?workbook=10_02.xlsx&amp;sheet=A0&amp;row=566&amp;col=7&amp;number=4503&amp;sourceID=32","4503")</f>
        <v>4503</v>
      </c>
      <c r="H566" s="4" t="str">
        <f>HYPERLINK("http://141.218.60.56/~jnz1568/getInfo.php?workbook=10_02.xlsx&amp;sheet=A0&amp;row=566&amp;col=8&amp;number=&amp;sourceID=32","")</f>
        <v/>
      </c>
      <c r="I566" s="4" t="str">
        <f>HYPERLINK("http://141.218.60.56/~jnz1568/getInfo.php?workbook=10_02.xlsx&amp;sheet=A0&amp;row=566&amp;col=9&amp;number=&amp;sourceID=32","")</f>
        <v/>
      </c>
      <c r="J566" s="4" t="str">
        <f>HYPERLINK("http://141.218.60.56/~jnz1568/getInfo.php?workbook=10_02.xlsx&amp;sheet=A0&amp;row=566&amp;col=10&amp;number=1e-15&amp;sourceID=32","1e-15")</f>
        <v>1e-15</v>
      </c>
      <c r="K566" s="4" t="str">
        <f>HYPERLINK("http://141.218.60.56/~jnz1568/getInfo.php?workbook=10_02.xlsx&amp;sheet=A0&amp;row=566&amp;col=11&amp;number=4883.4&amp;sourceID=46","4883.4")</f>
        <v>4883.4</v>
      </c>
      <c r="L566" s="4" t="str">
        <f>HYPERLINK("http://141.218.60.56/~jnz1568/getInfo.php?workbook=10_02.xlsx&amp;sheet=A0&amp;row=566&amp;col=12&amp;number=&amp;sourceID=47","")</f>
        <v/>
      </c>
    </row>
    <row r="567" spans="1:12">
      <c r="A567" s="3">
        <v>10</v>
      </c>
      <c r="B567" s="3">
        <v>2</v>
      </c>
      <c r="C567" s="3">
        <v>38</v>
      </c>
      <c r="D567" s="3">
        <v>1</v>
      </c>
      <c r="E567" s="3">
        <f>((1/(INDEX(E0!J$4:J$52,C567,1)-INDEX(E0!J$4:J$52,D567,1))))*100000000</f>
        <v>0</v>
      </c>
      <c r="F567" s="4" t="str">
        <f>HYPERLINK("http://141.218.60.56/~jnz1568/getInfo.php?workbook=10_02.xlsx&amp;sheet=A0&amp;row=567&amp;col=6&amp;number=&amp;sourceID=27","")</f>
        <v/>
      </c>
      <c r="G567" s="4" t="str">
        <f>HYPERLINK("http://141.218.60.56/~jnz1568/getInfo.php?workbook=10_02.xlsx&amp;sheet=A0&amp;row=567&amp;col=7&amp;number=&amp;sourceID=32","")</f>
        <v/>
      </c>
      <c r="H567" s="4" t="str">
        <f>HYPERLINK("http://141.218.60.56/~jnz1568/getInfo.php?workbook=10_02.xlsx&amp;sheet=A0&amp;row=567&amp;col=8&amp;number=4863000&amp;sourceID=32","4863000")</f>
        <v>4863000</v>
      </c>
      <c r="I567" s="4" t="str">
        <f>HYPERLINK("http://141.218.60.56/~jnz1568/getInfo.php?workbook=10_02.xlsx&amp;sheet=A0&amp;row=567&amp;col=9&amp;number=&amp;sourceID=32","")</f>
        <v/>
      </c>
      <c r="J567" s="4" t="str">
        <f>HYPERLINK("http://141.218.60.56/~jnz1568/getInfo.php?workbook=10_02.xlsx&amp;sheet=A0&amp;row=567&amp;col=10&amp;number=&amp;sourceID=32","")</f>
        <v/>
      </c>
      <c r="K567" s="4" t="str">
        <f>HYPERLINK("http://141.218.60.56/~jnz1568/getInfo.php?workbook=10_02.xlsx&amp;sheet=A0&amp;row=567&amp;col=11&amp;number=3055800&amp;sourceID=46","3055800")</f>
        <v>3055800</v>
      </c>
      <c r="L567" s="4" t="str">
        <f>HYPERLINK("http://141.218.60.56/~jnz1568/getInfo.php?workbook=10_02.xlsx&amp;sheet=A0&amp;row=567&amp;col=12&amp;number=&amp;sourceID=47","")</f>
        <v/>
      </c>
    </row>
    <row r="568" spans="1:12">
      <c r="A568" s="3">
        <v>10</v>
      </c>
      <c r="B568" s="3">
        <v>2</v>
      </c>
      <c r="C568" s="3">
        <v>38</v>
      </c>
      <c r="D568" s="3">
        <v>2</v>
      </c>
      <c r="E568" s="3">
        <f>((1/(INDEX(E0!J$4:J$52,C568,1)-INDEX(E0!J$4:J$52,D568,1))))*100000000</f>
        <v>0</v>
      </c>
      <c r="F568" s="4" t="str">
        <f>HYPERLINK("http://141.218.60.56/~jnz1568/getInfo.php?workbook=10_02.xlsx&amp;sheet=A0&amp;row=568&amp;col=6&amp;number=&amp;sourceID=27","")</f>
        <v/>
      </c>
      <c r="G568" s="4" t="str">
        <f>HYPERLINK("http://141.218.60.56/~jnz1568/getInfo.php?workbook=10_02.xlsx&amp;sheet=A0&amp;row=568&amp;col=7&amp;number=&amp;sourceID=32","")</f>
        <v/>
      </c>
      <c r="H568" s="4" t="str">
        <f>HYPERLINK("http://141.218.60.56/~jnz1568/getInfo.php?workbook=10_02.xlsx&amp;sheet=A0&amp;row=568&amp;col=8&amp;number=1333000&amp;sourceID=32","1333000")</f>
        <v>1333000</v>
      </c>
      <c r="I568" s="4" t="str">
        <f>HYPERLINK("http://141.218.60.56/~jnz1568/getInfo.php?workbook=10_02.xlsx&amp;sheet=A0&amp;row=568&amp;col=9&amp;number=0.1075&amp;sourceID=32","0.1075")</f>
        <v>0.1075</v>
      </c>
      <c r="J568" s="4" t="str">
        <f>HYPERLINK("http://141.218.60.56/~jnz1568/getInfo.php?workbook=10_02.xlsx&amp;sheet=A0&amp;row=568&amp;col=10&amp;number=&amp;sourceID=32","")</f>
        <v/>
      </c>
      <c r="K568" s="4" t="str">
        <f>HYPERLINK("http://141.218.60.56/~jnz1568/getInfo.php?workbook=10_02.xlsx&amp;sheet=A0&amp;row=568&amp;col=11&amp;number=1070400&amp;sourceID=46","1070400")</f>
        <v>1070400</v>
      </c>
      <c r="L568" s="4" t="str">
        <f>HYPERLINK("http://141.218.60.56/~jnz1568/getInfo.php?workbook=10_02.xlsx&amp;sheet=A0&amp;row=568&amp;col=12&amp;number=&amp;sourceID=47","")</f>
        <v/>
      </c>
    </row>
    <row r="569" spans="1:12">
      <c r="A569" s="3">
        <v>10</v>
      </c>
      <c r="B569" s="3">
        <v>2</v>
      </c>
      <c r="C569" s="3">
        <v>38</v>
      </c>
      <c r="D569" s="3">
        <v>3</v>
      </c>
      <c r="E569" s="3">
        <f>((1/(INDEX(E0!J$4:J$52,C569,1)-INDEX(E0!J$4:J$52,D569,1))))*100000000</f>
        <v>0</v>
      </c>
      <c r="F569" s="4" t="str">
        <f>HYPERLINK("http://141.218.60.56/~jnz1568/getInfo.php?workbook=10_02.xlsx&amp;sheet=A0&amp;row=569&amp;col=6&amp;number=&amp;sourceID=27","")</f>
        <v/>
      </c>
      <c r="G569" s="4" t="str">
        <f>HYPERLINK("http://141.218.60.56/~jnz1568/getInfo.php?workbook=10_02.xlsx&amp;sheet=A0&amp;row=569&amp;col=7&amp;number=&amp;sourceID=32","")</f>
        <v/>
      </c>
      <c r="H569" s="4" t="str">
        <f>HYPERLINK("http://141.218.60.56/~jnz1568/getInfo.php?workbook=10_02.xlsx&amp;sheet=A0&amp;row=569&amp;col=8&amp;number=&amp;sourceID=32","")</f>
        <v/>
      </c>
      <c r="I569" s="4" t="str">
        <f>HYPERLINK("http://141.218.60.56/~jnz1568/getInfo.php?workbook=10_02.xlsx&amp;sheet=A0&amp;row=569&amp;col=9&amp;number=&amp;sourceID=32","")</f>
        <v/>
      </c>
      <c r="J569" s="4" t="str">
        <f>HYPERLINK("http://141.218.60.56/~jnz1568/getInfo.php?workbook=10_02.xlsx&amp;sheet=A0&amp;row=569&amp;col=10&amp;number=21.79&amp;sourceID=32","21.79")</f>
        <v>21.79</v>
      </c>
      <c r="K569" s="4" t="str">
        <f>HYPERLINK("http://141.218.60.56/~jnz1568/getInfo.php?workbook=10_02.xlsx&amp;sheet=A0&amp;row=569&amp;col=11&amp;number=28.719&amp;sourceID=46","28.719")</f>
        <v>28.719</v>
      </c>
      <c r="L569" s="4" t="str">
        <f>HYPERLINK("http://141.218.60.56/~jnz1568/getInfo.php?workbook=10_02.xlsx&amp;sheet=A0&amp;row=569&amp;col=12&amp;number=&amp;sourceID=47","")</f>
        <v/>
      </c>
    </row>
    <row r="570" spans="1:12">
      <c r="A570" s="3">
        <v>10</v>
      </c>
      <c r="B570" s="3">
        <v>2</v>
      </c>
      <c r="C570" s="3">
        <v>38</v>
      </c>
      <c r="D570" s="3">
        <v>4</v>
      </c>
      <c r="E570" s="3">
        <f>((1/(INDEX(E0!J$4:J$52,C570,1)-INDEX(E0!J$4:J$52,D570,1))))*100000000</f>
        <v>0</v>
      </c>
      <c r="F570" s="4" t="str">
        <f>HYPERLINK("http://141.218.60.56/~jnz1568/getInfo.php?workbook=10_02.xlsx&amp;sheet=A0&amp;row=570&amp;col=6&amp;number=&amp;sourceID=27","")</f>
        <v/>
      </c>
      <c r="G570" s="4" t="str">
        <f>HYPERLINK("http://141.218.60.56/~jnz1568/getInfo.php?workbook=10_02.xlsx&amp;sheet=A0&amp;row=570&amp;col=7&amp;number=48920000000&amp;sourceID=32","48920000000")</f>
        <v>48920000000</v>
      </c>
      <c r="H570" s="4" t="str">
        <f>HYPERLINK("http://141.218.60.56/~jnz1568/getInfo.php?workbook=10_02.xlsx&amp;sheet=A0&amp;row=570&amp;col=8&amp;number=&amp;sourceID=32","")</f>
        <v/>
      </c>
      <c r="I570" s="4" t="str">
        <f>HYPERLINK("http://141.218.60.56/~jnz1568/getInfo.php?workbook=10_02.xlsx&amp;sheet=A0&amp;row=570&amp;col=9&amp;number=&amp;sourceID=32","")</f>
        <v/>
      </c>
      <c r="J570" s="4" t="str">
        <f>HYPERLINK("http://141.218.60.56/~jnz1568/getInfo.php?workbook=10_02.xlsx&amp;sheet=A0&amp;row=570&amp;col=10&amp;number=664.5&amp;sourceID=32","664.5")</f>
        <v>664.5</v>
      </c>
      <c r="K570" s="4" t="str">
        <f>HYPERLINK("http://141.218.60.56/~jnz1568/getInfo.php?workbook=10_02.xlsx&amp;sheet=A0&amp;row=570&amp;col=11&amp;number=49215000000&amp;sourceID=46","49215000000")</f>
        <v>49215000000</v>
      </c>
      <c r="L570" s="4" t="str">
        <f>HYPERLINK("http://141.218.60.56/~jnz1568/getInfo.php?workbook=10_02.xlsx&amp;sheet=A0&amp;row=570&amp;col=12&amp;number=&amp;sourceID=47","")</f>
        <v/>
      </c>
    </row>
    <row r="571" spans="1:12">
      <c r="A571" s="3">
        <v>10</v>
      </c>
      <c r="B571" s="3">
        <v>2</v>
      </c>
      <c r="C571" s="3">
        <v>38</v>
      </c>
      <c r="D571" s="3">
        <v>5</v>
      </c>
      <c r="E571" s="3">
        <f>((1/(INDEX(E0!J$4:J$52,C571,1)-INDEX(E0!J$4:J$52,D571,1))))*100000000</f>
        <v>0</v>
      </c>
      <c r="F571" s="4" t="str">
        <f>HYPERLINK("http://141.218.60.56/~jnz1568/getInfo.php?workbook=10_02.xlsx&amp;sheet=A0&amp;row=571&amp;col=6&amp;number=&amp;sourceID=27","")</f>
        <v/>
      </c>
      <c r="G571" s="4" t="str">
        <f>HYPERLINK("http://141.218.60.56/~jnz1568/getInfo.php?workbook=10_02.xlsx&amp;sheet=A0&amp;row=571&amp;col=7&amp;number=16140000000&amp;sourceID=32","16140000000")</f>
        <v>16140000000</v>
      </c>
      <c r="H571" s="4" t="str">
        <f>HYPERLINK("http://141.218.60.56/~jnz1568/getInfo.php?workbook=10_02.xlsx&amp;sheet=A0&amp;row=571&amp;col=8&amp;number=&amp;sourceID=32","")</f>
        <v/>
      </c>
      <c r="I571" s="4" t="str">
        <f>HYPERLINK("http://141.218.60.56/~jnz1568/getInfo.php?workbook=10_02.xlsx&amp;sheet=A0&amp;row=571&amp;col=9&amp;number=&amp;sourceID=32","")</f>
        <v/>
      </c>
      <c r="J571" s="4" t="str">
        <f>HYPERLINK("http://141.218.60.56/~jnz1568/getInfo.php?workbook=10_02.xlsx&amp;sheet=A0&amp;row=571&amp;col=10&amp;number=265&amp;sourceID=32","265")</f>
        <v>265</v>
      </c>
      <c r="K571" s="4" t="str">
        <f>HYPERLINK("http://141.218.60.56/~jnz1568/getInfo.php?workbook=10_02.xlsx&amp;sheet=A0&amp;row=571&amp;col=11&amp;number=16201000000&amp;sourceID=46","16201000000")</f>
        <v>16201000000</v>
      </c>
      <c r="L571" s="4" t="str">
        <f>HYPERLINK("http://141.218.60.56/~jnz1568/getInfo.php?workbook=10_02.xlsx&amp;sheet=A0&amp;row=571&amp;col=12&amp;number=&amp;sourceID=47","")</f>
        <v/>
      </c>
    </row>
    <row r="572" spans="1:12">
      <c r="A572" s="3">
        <v>10</v>
      </c>
      <c r="B572" s="3">
        <v>2</v>
      </c>
      <c r="C572" s="3">
        <v>38</v>
      </c>
      <c r="D572" s="3">
        <v>6</v>
      </c>
      <c r="E572" s="3">
        <f>((1/(INDEX(E0!J$4:J$52,C572,1)-INDEX(E0!J$4:J$52,D572,1))))*100000000</f>
        <v>0</v>
      </c>
      <c r="F572" s="4" t="str">
        <f>HYPERLINK("http://141.218.60.56/~jnz1568/getInfo.php?workbook=10_02.xlsx&amp;sheet=A0&amp;row=572&amp;col=6&amp;number=&amp;sourceID=27","")</f>
        <v/>
      </c>
      <c r="G572" s="4" t="str">
        <f>HYPERLINK("http://141.218.60.56/~jnz1568/getInfo.php?workbook=10_02.xlsx&amp;sheet=A0&amp;row=572&amp;col=7&amp;number=&amp;sourceID=32","")</f>
        <v/>
      </c>
      <c r="H572" s="4" t="str">
        <f>HYPERLINK("http://141.218.60.56/~jnz1568/getInfo.php?workbook=10_02.xlsx&amp;sheet=A0&amp;row=572&amp;col=8&amp;number=17190&amp;sourceID=32","17190")</f>
        <v>17190</v>
      </c>
      <c r="I572" s="4" t="str">
        <f>HYPERLINK("http://141.218.60.56/~jnz1568/getInfo.php?workbook=10_02.xlsx&amp;sheet=A0&amp;row=572&amp;col=9&amp;number=&amp;sourceID=32","")</f>
        <v/>
      </c>
      <c r="J572" s="4" t="str">
        <f>HYPERLINK("http://141.218.60.56/~jnz1568/getInfo.php?workbook=10_02.xlsx&amp;sheet=A0&amp;row=572&amp;col=10&amp;number=&amp;sourceID=32","")</f>
        <v/>
      </c>
      <c r="K572" s="4" t="str">
        <f>HYPERLINK("http://141.218.60.56/~jnz1568/getInfo.php?workbook=10_02.xlsx&amp;sheet=A0&amp;row=572&amp;col=11&amp;number=13631&amp;sourceID=46","13631")</f>
        <v>13631</v>
      </c>
      <c r="L572" s="4" t="str">
        <f>HYPERLINK("http://141.218.60.56/~jnz1568/getInfo.php?workbook=10_02.xlsx&amp;sheet=A0&amp;row=572&amp;col=12&amp;number=&amp;sourceID=47","")</f>
        <v/>
      </c>
    </row>
    <row r="573" spans="1:12">
      <c r="A573" s="3">
        <v>10</v>
      </c>
      <c r="B573" s="3">
        <v>2</v>
      </c>
      <c r="C573" s="3">
        <v>38</v>
      </c>
      <c r="D573" s="3">
        <v>7</v>
      </c>
      <c r="E573" s="3">
        <f>((1/(INDEX(E0!J$4:J$52,C573,1)-INDEX(E0!J$4:J$52,D573,1))))*100000000</f>
        <v>0</v>
      </c>
      <c r="F573" s="4" t="str">
        <f>HYPERLINK("http://141.218.60.56/~jnz1568/getInfo.php?workbook=10_02.xlsx&amp;sheet=A0&amp;row=573&amp;col=6&amp;number=&amp;sourceID=27","")</f>
        <v/>
      </c>
      <c r="G573" s="4" t="str">
        <f>HYPERLINK("http://141.218.60.56/~jnz1568/getInfo.php?workbook=10_02.xlsx&amp;sheet=A0&amp;row=573&amp;col=7&amp;number=1054000000&amp;sourceID=32","1054000000")</f>
        <v>1054000000</v>
      </c>
      <c r="H573" s="4" t="str">
        <f>HYPERLINK("http://141.218.60.56/~jnz1568/getInfo.php?workbook=10_02.xlsx&amp;sheet=A0&amp;row=573&amp;col=8&amp;number=&amp;sourceID=32","")</f>
        <v/>
      </c>
      <c r="I573" s="4" t="str">
        <f>HYPERLINK("http://141.218.60.56/~jnz1568/getInfo.php?workbook=10_02.xlsx&amp;sheet=A0&amp;row=573&amp;col=9&amp;number=&amp;sourceID=32","")</f>
        <v/>
      </c>
      <c r="J573" s="4" t="str">
        <f>HYPERLINK("http://141.218.60.56/~jnz1568/getInfo.php?workbook=10_02.xlsx&amp;sheet=A0&amp;row=573&amp;col=10&amp;number=137.2&amp;sourceID=32","137.2")</f>
        <v>137.2</v>
      </c>
      <c r="K573" s="4" t="str">
        <f>HYPERLINK("http://141.218.60.56/~jnz1568/getInfo.php?workbook=10_02.xlsx&amp;sheet=A0&amp;row=573&amp;col=11&amp;number=680510000&amp;sourceID=46","680510000")</f>
        <v>680510000</v>
      </c>
      <c r="L573" s="4" t="str">
        <f>HYPERLINK("http://141.218.60.56/~jnz1568/getInfo.php?workbook=10_02.xlsx&amp;sheet=A0&amp;row=573&amp;col=12&amp;number=&amp;sourceID=47","")</f>
        <v/>
      </c>
    </row>
    <row r="574" spans="1:12">
      <c r="A574" s="3">
        <v>10</v>
      </c>
      <c r="B574" s="3">
        <v>2</v>
      </c>
      <c r="C574" s="3">
        <v>38</v>
      </c>
      <c r="D574" s="3">
        <v>8</v>
      </c>
      <c r="E574" s="3">
        <f>((1/(INDEX(E0!J$4:J$52,C574,1)-INDEX(E0!J$4:J$52,D574,1))))*100000000</f>
        <v>0</v>
      </c>
      <c r="F574" s="4" t="str">
        <f>HYPERLINK("http://141.218.60.56/~jnz1568/getInfo.php?workbook=10_02.xlsx&amp;sheet=A0&amp;row=574&amp;col=6&amp;number=&amp;sourceID=27","")</f>
        <v/>
      </c>
      <c r="G574" s="4" t="str">
        <f>HYPERLINK("http://141.218.60.56/~jnz1568/getInfo.php?workbook=10_02.xlsx&amp;sheet=A0&amp;row=574&amp;col=7&amp;number=&amp;sourceID=32","")</f>
        <v/>
      </c>
      <c r="H574" s="4" t="str">
        <f>HYPERLINK("http://141.218.60.56/~jnz1568/getInfo.php?workbook=10_02.xlsx&amp;sheet=A0&amp;row=574&amp;col=8&amp;number=796500&amp;sourceID=32","796500")</f>
        <v>796500</v>
      </c>
      <c r="I574" s="4" t="str">
        <f>HYPERLINK("http://141.218.60.56/~jnz1568/getInfo.php?workbook=10_02.xlsx&amp;sheet=A0&amp;row=574&amp;col=9&amp;number=0.0008511&amp;sourceID=32","0.0008511")</f>
        <v>0.0008511</v>
      </c>
      <c r="J574" s="4" t="str">
        <f>HYPERLINK("http://141.218.60.56/~jnz1568/getInfo.php?workbook=10_02.xlsx&amp;sheet=A0&amp;row=574&amp;col=10&amp;number=&amp;sourceID=32","")</f>
        <v/>
      </c>
      <c r="K574" s="4" t="str">
        <f>HYPERLINK("http://141.218.60.56/~jnz1568/getInfo.php?workbook=10_02.xlsx&amp;sheet=A0&amp;row=574&amp;col=11&amp;number=789760&amp;sourceID=46","789760")</f>
        <v>789760</v>
      </c>
      <c r="L574" s="4" t="str">
        <f>HYPERLINK("http://141.218.60.56/~jnz1568/getInfo.php?workbook=10_02.xlsx&amp;sheet=A0&amp;row=574&amp;col=12&amp;number=&amp;sourceID=47","")</f>
        <v/>
      </c>
    </row>
    <row r="575" spans="1:12">
      <c r="A575" s="3">
        <v>10</v>
      </c>
      <c r="B575" s="3">
        <v>2</v>
      </c>
      <c r="C575" s="3">
        <v>38</v>
      </c>
      <c r="D575" s="3">
        <v>9</v>
      </c>
      <c r="E575" s="3">
        <f>((1/(INDEX(E0!J$4:J$52,C575,1)-INDEX(E0!J$4:J$52,D575,1))))*100000000</f>
        <v>0</v>
      </c>
      <c r="F575" s="4" t="str">
        <f>HYPERLINK("http://141.218.60.56/~jnz1568/getInfo.php?workbook=10_02.xlsx&amp;sheet=A0&amp;row=575&amp;col=6&amp;number=&amp;sourceID=27","")</f>
        <v/>
      </c>
      <c r="G575" s="4" t="str">
        <f>HYPERLINK("http://141.218.60.56/~jnz1568/getInfo.php?workbook=10_02.xlsx&amp;sheet=A0&amp;row=575&amp;col=7&amp;number=&amp;sourceID=32","")</f>
        <v/>
      </c>
      <c r="H575" s="4" t="str">
        <f>HYPERLINK("http://141.218.60.56/~jnz1568/getInfo.php?workbook=10_02.xlsx&amp;sheet=A0&amp;row=575&amp;col=8&amp;number=&amp;sourceID=32","")</f>
        <v/>
      </c>
      <c r="I575" s="4" t="str">
        <f>HYPERLINK("http://141.218.60.56/~jnz1568/getInfo.php?workbook=10_02.xlsx&amp;sheet=A0&amp;row=575&amp;col=9&amp;number=&amp;sourceID=32","")</f>
        <v/>
      </c>
      <c r="J575" s="4" t="str">
        <f>HYPERLINK("http://141.218.60.56/~jnz1568/getInfo.php?workbook=10_02.xlsx&amp;sheet=A0&amp;row=575&amp;col=10&amp;number=0.8601&amp;sourceID=32","0.8601")</f>
        <v>0.8601</v>
      </c>
      <c r="K575" s="4" t="str">
        <f>HYPERLINK("http://141.218.60.56/~jnz1568/getInfo.php?workbook=10_02.xlsx&amp;sheet=A0&amp;row=575&amp;col=11&amp;number=1.1108&amp;sourceID=46","1.1108")</f>
        <v>1.1108</v>
      </c>
      <c r="L575" s="4" t="str">
        <f>HYPERLINK("http://141.218.60.56/~jnz1568/getInfo.php?workbook=10_02.xlsx&amp;sheet=A0&amp;row=575&amp;col=12&amp;number=&amp;sourceID=47","")</f>
        <v/>
      </c>
    </row>
    <row r="576" spans="1:12">
      <c r="A576" s="3">
        <v>10</v>
      </c>
      <c r="B576" s="3">
        <v>2</v>
      </c>
      <c r="C576" s="3">
        <v>38</v>
      </c>
      <c r="D576" s="3">
        <v>10</v>
      </c>
      <c r="E576" s="3">
        <f>((1/(INDEX(E0!J$4:J$52,C576,1)-INDEX(E0!J$4:J$52,D576,1))))*100000000</f>
        <v>0</v>
      </c>
      <c r="F576" s="4" t="str">
        <f>HYPERLINK("http://141.218.60.56/~jnz1568/getInfo.php?workbook=10_02.xlsx&amp;sheet=A0&amp;row=576&amp;col=6&amp;number=&amp;sourceID=27","")</f>
        <v/>
      </c>
      <c r="G576" s="4" t="str">
        <f>HYPERLINK("http://141.218.60.56/~jnz1568/getInfo.php?workbook=10_02.xlsx&amp;sheet=A0&amp;row=576&amp;col=7&amp;number=16680000000&amp;sourceID=32","16680000000")</f>
        <v>16680000000</v>
      </c>
      <c r="H576" s="4" t="str">
        <f>HYPERLINK("http://141.218.60.56/~jnz1568/getInfo.php?workbook=10_02.xlsx&amp;sheet=A0&amp;row=576&amp;col=8&amp;number=&amp;sourceID=32","")</f>
        <v/>
      </c>
      <c r="I576" s="4" t="str">
        <f>HYPERLINK("http://141.218.60.56/~jnz1568/getInfo.php?workbook=10_02.xlsx&amp;sheet=A0&amp;row=576&amp;col=9&amp;number=&amp;sourceID=32","")</f>
        <v/>
      </c>
      <c r="J576" s="4" t="str">
        <f>HYPERLINK("http://141.218.60.56/~jnz1568/getInfo.php?workbook=10_02.xlsx&amp;sheet=A0&amp;row=576&amp;col=10&amp;number=25.78&amp;sourceID=32","25.78")</f>
        <v>25.78</v>
      </c>
      <c r="K576" s="4" t="str">
        <f>HYPERLINK("http://141.218.60.56/~jnz1568/getInfo.php?workbook=10_02.xlsx&amp;sheet=A0&amp;row=576&amp;col=11&amp;number=16743000000&amp;sourceID=46","16743000000")</f>
        <v>16743000000</v>
      </c>
      <c r="L576" s="4" t="str">
        <f>HYPERLINK("http://141.218.60.56/~jnz1568/getInfo.php?workbook=10_02.xlsx&amp;sheet=A0&amp;row=576&amp;col=12&amp;number=&amp;sourceID=47","")</f>
        <v/>
      </c>
    </row>
    <row r="577" spans="1:12">
      <c r="A577" s="3">
        <v>10</v>
      </c>
      <c r="B577" s="3">
        <v>2</v>
      </c>
      <c r="C577" s="3">
        <v>38</v>
      </c>
      <c r="D577" s="3">
        <v>11</v>
      </c>
      <c r="E577" s="3">
        <f>((1/(INDEX(E0!J$4:J$52,C577,1)-INDEX(E0!J$4:J$52,D577,1))))*100000000</f>
        <v>0</v>
      </c>
      <c r="F577" s="4" t="str">
        <f>HYPERLINK("http://141.218.60.56/~jnz1568/getInfo.php?workbook=10_02.xlsx&amp;sheet=A0&amp;row=577&amp;col=6&amp;number=&amp;sourceID=27","")</f>
        <v/>
      </c>
      <c r="G577" s="4" t="str">
        <f>HYPERLINK("http://141.218.60.56/~jnz1568/getInfo.php?workbook=10_02.xlsx&amp;sheet=A0&amp;row=577&amp;col=7&amp;number=&amp;sourceID=32","")</f>
        <v/>
      </c>
      <c r="H577" s="4" t="str">
        <f>HYPERLINK("http://141.218.60.56/~jnz1568/getInfo.php?workbook=10_02.xlsx&amp;sheet=A0&amp;row=577&amp;col=8&amp;number=15520&amp;sourceID=32","15520")</f>
        <v>15520</v>
      </c>
      <c r="I577" s="4" t="str">
        <f>HYPERLINK("http://141.218.60.56/~jnz1568/getInfo.php?workbook=10_02.xlsx&amp;sheet=A0&amp;row=577&amp;col=9&amp;number=&amp;sourceID=32","")</f>
        <v/>
      </c>
      <c r="J577" s="4" t="str">
        <f>HYPERLINK("http://141.218.60.56/~jnz1568/getInfo.php?workbook=10_02.xlsx&amp;sheet=A0&amp;row=577&amp;col=10&amp;number=&amp;sourceID=32","")</f>
        <v/>
      </c>
      <c r="K577" s="4" t="str">
        <f>HYPERLINK("http://141.218.60.56/~jnz1568/getInfo.php?workbook=10_02.xlsx&amp;sheet=A0&amp;row=577&amp;col=11&amp;number=9821.3&amp;sourceID=46","9821.3")</f>
        <v>9821.3</v>
      </c>
      <c r="L577" s="4" t="str">
        <f>HYPERLINK("http://141.218.60.56/~jnz1568/getInfo.php?workbook=10_02.xlsx&amp;sheet=A0&amp;row=577&amp;col=12&amp;number=&amp;sourceID=47","")</f>
        <v/>
      </c>
    </row>
    <row r="578" spans="1:12">
      <c r="A578" s="3">
        <v>10</v>
      </c>
      <c r="B578" s="3">
        <v>2</v>
      </c>
      <c r="C578" s="3">
        <v>38</v>
      </c>
      <c r="D578" s="3">
        <v>12</v>
      </c>
      <c r="E578" s="3">
        <f>((1/(INDEX(E0!J$4:J$52,C578,1)-INDEX(E0!J$4:J$52,D578,1))))*100000000</f>
        <v>0</v>
      </c>
      <c r="F578" s="4" t="str">
        <f>HYPERLINK("http://141.218.60.56/~jnz1568/getInfo.php?workbook=10_02.xlsx&amp;sheet=A0&amp;row=578&amp;col=6&amp;number=&amp;sourceID=27","")</f>
        <v/>
      </c>
      <c r="G578" s="4" t="str">
        <f>HYPERLINK("http://141.218.60.56/~jnz1568/getInfo.php?workbook=10_02.xlsx&amp;sheet=A0&amp;row=578&amp;col=7&amp;number=5511000000&amp;sourceID=32","5511000000")</f>
        <v>5511000000</v>
      </c>
      <c r="H578" s="4" t="str">
        <f>HYPERLINK("http://141.218.60.56/~jnz1568/getInfo.php?workbook=10_02.xlsx&amp;sheet=A0&amp;row=578&amp;col=8&amp;number=&amp;sourceID=32","")</f>
        <v/>
      </c>
      <c r="I578" s="4" t="str">
        <f>HYPERLINK("http://141.218.60.56/~jnz1568/getInfo.php?workbook=10_02.xlsx&amp;sheet=A0&amp;row=578&amp;col=9&amp;number=&amp;sourceID=32","")</f>
        <v/>
      </c>
      <c r="J578" s="4" t="str">
        <f>HYPERLINK("http://141.218.60.56/~jnz1568/getInfo.php?workbook=10_02.xlsx&amp;sheet=A0&amp;row=578&amp;col=10&amp;number=10.29&amp;sourceID=32","10.29")</f>
        <v>10.29</v>
      </c>
      <c r="K578" s="4" t="str">
        <f>HYPERLINK("http://141.218.60.56/~jnz1568/getInfo.php?workbook=10_02.xlsx&amp;sheet=A0&amp;row=578&amp;col=11&amp;number=5538300000&amp;sourceID=46","5538300000")</f>
        <v>5538300000</v>
      </c>
      <c r="L578" s="4" t="str">
        <f>HYPERLINK("http://141.218.60.56/~jnz1568/getInfo.php?workbook=10_02.xlsx&amp;sheet=A0&amp;row=578&amp;col=12&amp;number=&amp;sourceID=47","")</f>
        <v/>
      </c>
    </row>
    <row r="579" spans="1:12">
      <c r="A579" s="3">
        <v>10</v>
      </c>
      <c r="B579" s="3">
        <v>2</v>
      </c>
      <c r="C579" s="3">
        <v>38</v>
      </c>
      <c r="D579" s="3">
        <v>13</v>
      </c>
      <c r="E579" s="3">
        <f>((1/(INDEX(E0!J$4:J$52,C579,1)-INDEX(E0!J$4:J$52,D579,1))))*100000000</f>
        <v>0</v>
      </c>
      <c r="F579" s="4" t="str">
        <f>HYPERLINK("http://141.218.60.56/~jnz1568/getInfo.php?workbook=10_02.xlsx&amp;sheet=A0&amp;row=579&amp;col=6&amp;number=&amp;sourceID=27","")</f>
        <v/>
      </c>
      <c r="G579" s="4" t="str">
        <f>HYPERLINK("http://141.218.60.56/~jnz1568/getInfo.php?workbook=10_02.xlsx&amp;sheet=A0&amp;row=579&amp;col=7&amp;number=&amp;sourceID=32","")</f>
        <v/>
      </c>
      <c r="H579" s="4" t="str">
        <f>HYPERLINK("http://141.218.60.56/~jnz1568/getInfo.php?workbook=10_02.xlsx&amp;sheet=A0&amp;row=579&amp;col=8&amp;number=104300&amp;sourceID=32","104300")</f>
        <v>104300</v>
      </c>
      <c r="I579" s="4" t="str">
        <f>HYPERLINK("http://141.218.60.56/~jnz1568/getInfo.php?workbook=10_02.xlsx&amp;sheet=A0&amp;row=579&amp;col=9&amp;number=0.008127&amp;sourceID=32","0.008127")</f>
        <v>0.008127</v>
      </c>
      <c r="J579" s="4" t="str">
        <f>HYPERLINK("http://141.218.60.56/~jnz1568/getInfo.php?workbook=10_02.xlsx&amp;sheet=A0&amp;row=579&amp;col=10&amp;number=&amp;sourceID=32","")</f>
        <v/>
      </c>
      <c r="K579" s="4" t="str">
        <f>HYPERLINK("http://141.218.60.56/~jnz1568/getInfo.php?workbook=10_02.xlsx&amp;sheet=A0&amp;row=579&amp;col=11&amp;number=105120&amp;sourceID=46","105120")</f>
        <v>105120</v>
      </c>
      <c r="L579" s="4" t="str">
        <f>HYPERLINK("http://141.218.60.56/~jnz1568/getInfo.php?workbook=10_02.xlsx&amp;sheet=A0&amp;row=579&amp;col=12&amp;number=&amp;sourceID=47","")</f>
        <v/>
      </c>
    </row>
    <row r="580" spans="1:12">
      <c r="A580" s="3">
        <v>10</v>
      </c>
      <c r="B580" s="3">
        <v>2</v>
      </c>
      <c r="C580" s="3">
        <v>38</v>
      </c>
      <c r="D580" s="3">
        <v>14</v>
      </c>
      <c r="E580" s="3">
        <f>((1/(INDEX(E0!J$4:J$52,C580,1)-INDEX(E0!J$4:J$52,D580,1))))*100000000</f>
        <v>0</v>
      </c>
      <c r="F580" s="4" t="str">
        <f>HYPERLINK("http://141.218.60.56/~jnz1568/getInfo.php?workbook=10_02.xlsx&amp;sheet=A0&amp;row=580&amp;col=6&amp;number=&amp;sourceID=27","")</f>
        <v/>
      </c>
      <c r="G580" s="4" t="str">
        <f>HYPERLINK("http://141.218.60.56/~jnz1568/getInfo.php?workbook=10_02.xlsx&amp;sheet=A0&amp;row=580&amp;col=7&amp;number=&amp;sourceID=32","")</f>
        <v/>
      </c>
      <c r="H580" s="4" t="str">
        <f>HYPERLINK("http://141.218.60.56/~jnz1568/getInfo.php?workbook=10_02.xlsx&amp;sheet=A0&amp;row=580&amp;col=8&amp;number=80910&amp;sourceID=32","80910")</f>
        <v>80910</v>
      </c>
      <c r="I580" s="4" t="str">
        <f>HYPERLINK("http://141.218.60.56/~jnz1568/getInfo.php?workbook=10_02.xlsx&amp;sheet=A0&amp;row=580&amp;col=9&amp;number=0.09537&amp;sourceID=32","0.09537")</f>
        <v>0.09537</v>
      </c>
      <c r="J580" s="4" t="str">
        <f>HYPERLINK("http://141.218.60.56/~jnz1568/getInfo.php?workbook=10_02.xlsx&amp;sheet=A0&amp;row=580&amp;col=10&amp;number=&amp;sourceID=32","")</f>
        <v/>
      </c>
      <c r="K580" s="4" t="str">
        <f>HYPERLINK("http://141.218.60.56/~jnz1568/getInfo.php?workbook=10_02.xlsx&amp;sheet=A0&amp;row=580&amp;col=11&amp;number=79059&amp;sourceID=46","79059")</f>
        <v>79059</v>
      </c>
      <c r="L580" s="4" t="str">
        <f>HYPERLINK("http://141.218.60.56/~jnz1568/getInfo.php?workbook=10_02.xlsx&amp;sheet=A0&amp;row=580&amp;col=12&amp;number=&amp;sourceID=47","")</f>
        <v/>
      </c>
    </row>
    <row r="581" spans="1:12">
      <c r="A581" s="3">
        <v>10</v>
      </c>
      <c r="B581" s="3">
        <v>2</v>
      </c>
      <c r="C581" s="3">
        <v>38</v>
      </c>
      <c r="D581" s="3">
        <v>15</v>
      </c>
      <c r="E581" s="3">
        <f>((1/(INDEX(E0!J$4:J$52,C581,1)-INDEX(E0!J$4:J$52,D581,1))))*100000000</f>
        <v>0</v>
      </c>
      <c r="F581" s="4" t="str">
        <f>HYPERLINK("http://141.218.60.56/~jnz1568/getInfo.php?workbook=10_02.xlsx&amp;sheet=A0&amp;row=581&amp;col=6&amp;number=&amp;sourceID=27","")</f>
        <v/>
      </c>
      <c r="G581" s="4" t="str">
        <f>HYPERLINK("http://141.218.60.56/~jnz1568/getInfo.php?workbook=10_02.xlsx&amp;sheet=A0&amp;row=581&amp;col=7&amp;number=&amp;sourceID=32","")</f>
        <v/>
      </c>
      <c r="H581" s="4" t="str">
        <f>HYPERLINK("http://141.218.60.56/~jnz1568/getInfo.php?workbook=10_02.xlsx&amp;sheet=A0&amp;row=581&amp;col=8&amp;number=119000&amp;sourceID=32","119000")</f>
        <v>119000</v>
      </c>
      <c r="I581" s="4" t="str">
        <f>HYPERLINK("http://141.218.60.56/~jnz1568/getInfo.php?workbook=10_02.xlsx&amp;sheet=A0&amp;row=581&amp;col=9&amp;number=0.04948&amp;sourceID=32","0.04948")</f>
        <v>0.04948</v>
      </c>
      <c r="J581" s="4" t="str">
        <f>HYPERLINK("http://141.218.60.56/~jnz1568/getInfo.php?workbook=10_02.xlsx&amp;sheet=A0&amp;row=581&amp;col=10&amp;number=&amp;sourceID=32","")</f>
        <v/>
      </c>
      <c r="K581" s="4" t="str">
        <f>HYPERLINK("http://141.218.60.56/~jnz1568/getInfo.php?workbook=10_02.xlsx&amp;sheet=A0&amp;row=581&amp;col=11&amp;number=119840&amp;sourceID=46","119840")</f>
        <v>119840</v>
      </c>
      <c r="L581" s="4" t="str">
        <f>HYPERLINK("http://141.218.60.56/~jnz1568/getInfo.php?workbook=10_02.xlsx&amp;sheet=A0&amp;row=581&amp;col=12&amp;number=&amp;sourceID=47","")</f>
        <v/>
      </c>
    </row>
    <row r="582" spans="1:12">
      <c r="A582" s="3">
        <v>10</v>
      </c>
      <c r="B582" s="3">
        <v>2</v>
      </c>
      <c r="C582" s="3">
        <v>38</v>
      </c>
      <c r="D582" s="3">
        <v>16</v>
      </c>
      <c r="E582" s="3">
        <f>((1/(INDEX(E0!J$4:J$52,C582,1)-INDEX(E0!J$4:J$52,D582,1))))*100000000</f>
        <v>0</v>
      </c>
      <c r="F582" s="4" t="str">
        <f>HYPERLINK("http://141.218.60.56/~jnz1568/getInfo.php?workbook=10_02.xlsx&amp;sheet=A0&amp;row=582&amp;col=6&amp;number=&amp;sourceID=27","")</f>
        <v/>
      </c>
      <c r="G582" s="4" t="str">
        <f>HYPERLINK("http://141.218.60.56/~jnz1568/getInfo.php?workbook=10_02.xlsx&amp;sheet=A0&amp;row=582&amp;col=7&amp;number=&amp;sourceID=32","")</f>
        <v/>
      </c>
      <c r="H582" s="4" t="str">
        <f>HYPERLINK("http://141.218.60.56/~jnz1568/getInfo.php?workbook=10_02.xlsx&amp;sheet=A0&amp;row=582&amp;col=8&amp;number=715&amp;sourceID=32","715")</f>
        <v>715</v>
      </c>
      <c r="I582" s="4" t="str">
        <f>HYPERLINK("http://141.218.60.56/~jnz1568/getInfo.php?workbook=10_02.xlsx&amp;sheet=A0&amp;row=582&amp;col=9&amp;number=0.04146&amp;sourceID=32","0.04146")</f>
        <v>0.04146</v>
      </c>
      <c r="J582" s="4" t="str">
        <f>HYPERLINK("http://141.218.60.56/~jnz1568/getInfo.php?workbook=10_02.xlsx&amp;sheet=A0&amp;row=582&amp;col=10&amp;number=&amp;sourceID=32","")</f>
        <v/>
      </c>
      <c r="K582" s="4" t="str">
        <f>HYPERLINK("http://141.218.60.56/~jnz1568/getInfo.php?workbook=10_02.xlsx&amp;sheet=A0&amp;row=582&amp;col=11&amp;number=445.65&amp;sourceID=46","445.65")</f>
        <v>445.65</v>
      </c>
      <c r="L582" s="4" t="str">
        <f>HYPERLINK("http://141.218.60.56/~jnz1568/getInfo.php?workbook=10_02.xlsx&amp;sheet=A0&amp;row=582&amp;col=12&amp;number=&amp;sourceID=47","")</f>
        <v/>
      </c>
    </row>
    <row r="583" spans="1:12">
      <c r="A583" s="3">
        <v>10</v>
      </c>
      <c r="B583" s="3">
        <v>2</v>
      </c>
      <c r="C583" s="3">
        <v>38</v>
      </c>
      <c r="D583" s="3">
        <v>17</v>
      </c>
      <c r="E583" s="3">
        <f>((1/(INDEX(E0!J$4:J$52,C583,1)-INDEX(E0!J$4:J$52,D583,1))))*100000000</f>
        <v>0</v>
      </c>
      <c r="F583" s="4" t="str">
        <f>HYPERLINK("http://141.218.60.56/~jnz1568/getInfo.php?workbook=10_02.xlsx&amp;sheet=A0&amp;row=583&amp;col=6&amp;number=&amp;sourceID=27","")</f>
        <v/>
      </c>
      <c r="G583" s="4" t="str">
        <f>HYPERLINK("http://141.218.60.56/~jnz1568/getInfo.php?workbook=10_02.xlsx&amp;sheet=A0&amp;row=583&amp;col=7&amp;number=386000000&amp;sourceID=32","386000000")</f>
        <v>386000000</v>
      </c>
      <c r="H583" s="4" t="str">
        <f>HYPERLINK("http://141.218.60.56/~jnz1568/getInfo.php?workbook=10_02.xlsx&amp;sheet=A0&amp;row=583&amp;col=8&amp;number=&amp;sourceID=32","")</f>
        <v/>
      </c>
      <c r="I583" s="4" t="str">
        <f>HYPERLINK("http://141.218.60.56/~jnz1568/getInfo.php?workbook=10_02.xlsx&amp;sheet=A0&amp;row=583&amp;col=9&amp;number=&amp;sourceID=32","")</f>
        <v/>
      </c>
      <c r="J583" s="4" t="str">
        <f>HYPERLINK("http://141.218.60.56/~jnz1568/getInfo.php?workbook=10_02.xlsx&amp;sheet=A0&amp;row=583&amp;col=10&amp;number=5.848&amp;sourceID=32","5.848")</f>
        <v>5.848</v>
      </c>
      <c r="K583" s="4" t="str">
        <f>HYPERLINK("http://141.218.60.56/~jnz1568/getInfo.php?workbook=10_02.xlsx&amp;sheet=A0&amp;row=583&amp;col=11&amp;number=240480000&amp;sourceID=46","240480000")</f>
        <v>240480000</v>
      </c>
      <c r="L583" s="4" t="str">
        <f>HYPERLINK("http://141.218.60.56/~jnz1568/getInfo.php?workbook=10_02.xlsx&amp;sheet=A0&amp;row=583&amp;col=12&amp;number=&amp;sourceID=47","")</f>
        <v/>
      </c>
    </row>
    <row r="584" spans="1:12">
      <c r="A584" s="3">
        <v>10</v>
      </c>
      <c r="B584" s="3">
        <v>2</v>
      </c>
      <c r="C584" s="3">
        <v>38</v>
      </c>
      <c r="D584" s="3">
        <v>18</v>
      </c>
      <c r="E584" s="3">
        <f>((1/(INDEX(E0!J$4:J$52,C584,1)-INDEX(E0!J$4:J$52,D584,1))))*100000000</f>
        <v>0</v>
      </c>
      <c r="F584" s="4" t="str">
        <f>HYPERLINK("http://141.218.60.56/~jnz1568/getInfo.php?workbook=10_02.xlsx&amp;sheet=A0&amp;row=584&amp;col=6&amp;number=&amp;sourceID=27","")</f>
        <v/>
      </c>
      <c r="G584" s="4" t="str">
        <f>HYPERLINK("http://141.218.60.56/~jnz1568/getInfo.php?workbook=10_02.xlsx&amp;sheet=A0&amp;row=584&amp;col=7&amp;number=&amp;sourceID=32","")</f>
        <v/>
      </c>
      <c r="H584" s="4" t="str">
        <f>HYPERLINK("http://141.218.60.56/~jnz1568/getInfo.php?workbook=10_02.xlsx&amp;sheet=A0&amp;row=584&amp;col=8&amp;number=314700&amp;sourceID=32","314700")</f>
        <v>314700</v>
      </c>
      <c r="I584" s="4" t="str">
        <f>HYPERLINK("http://141.218.60.56/~jnz1568/getInfo.php?workbook=10_02.xlsx&amp;sheet=A0&amp;row=584&amp;col=9&amp;number=4.031e-06&amp;sourceID=32","4.031e-06")</f>
        <v>4.031e-06</v>
      </c>
      <c r="J584" s="4" t="str">
        <f>HYPERLINK("http://141.218.60.56/~jnz1568/getInfo.php?workbook=10_02.xlsx&amp;sheet=A0&amp;row=584&amp;col=10&amp;number=&amp;sourceID=32","")</f>
        <v/>
      </c>
      <c r="K584" s="4" t="str">
        <f>HYPERLINK("http://141.218.60.56/~jnz1568/getInfo.php?workbook=10_02.xlsx&amp;sheet=A0&amp;row=584&amp;col=11&amp;number=317050&amp;sourceID=46","317050")</f>
        <v>317050</v>
      </c>
      <c r="L584" s="4" t="str">
        <f>HYPERLINK("http://141.218.60.56/~jnz1568/getInfo.php?workbook=10_02.xlsx&amp;sheet=A0&amp;row=584&amp;col=12&amp;number=&amp;sourceID=47","")</f>
        <v/>
      </c>
    </row>
    <row r="585" spans="1:12">
      <c r="A585" s="3">
        <v>10</v>
      </c>
      <c r="B585" s="3">
        <v>2</v>
      </c>
      <c r="C585" s="3">
        <v>38</v>
      </c>
      <c r="D585" s="3">
        <v>19</v>
      </c>
      <c r="E585" s="3">
        <f>((1/(INDEX(E0!J$4:J$52,C585,1)-INDEX(E0!J$4:J$52,D585,1))))*100000000</f>
        <v>0</v>
      </c>
      <c r="F585" s="4" t="str">
        <f>HYPERLINK("http://141.218.60.56/~jnz1568/getInfo.php?workbook=10_02.xlsx&amp;sheet=A0&amp;row=585&amp;col=6&amp;number=&amp;sourceID=27","")</f>
        <v/>
      </c>
      <c r="G585" s="4" t="str">
        <f>HYPERLINK("http://141.218.60.56/~jnz1568/getInfo.php?workbook=10_02.xlsx&amp;sheet=A0&amp;row=585&amp;col=7&amp;number=&amp;sourceID=32","")</f>
        <v/>
      </c>
      <c r="H585" s="4" t="str">
        <f>HYPERLINK("http://141.218.60.56/~jnz1568/getInfo.php?workbook=10_02.xlsx&amp;sheet=A0&amp;row=585&amp;col=8&amp;number=&amp;sourceID=32","")</f>
        <v/>
      </c>
      <c r="I585" s="4" t="str">
        <f>HYPERLINK("http://141.218.60.56/~jnz1568/getInfo.php?workbook=10_02.xlsx&amp;sheet=A0&amp;row=585&amp;col=9&amp;number=&amp;sourceID=32","")</f>
        <v/>
      </c>
      <c r="J585" s="4" t="str">
        <f>HYPERLINK("http://141.218.60.56/~jnz1568/getInfo.php?workbook=10_02.xlsx&amp;sheet=A0&amp;row=585&amp;col=10&amp;number=0.03646&amp;sourceID=32","0.03646")</f>
        <v>0.03646</v>
      </c>
      <c r="K585" s="4" t="str">
        <f>HYPERLINK("http://141.218.60.56/~jnz1568/getInfo.php?workbook=10_02.xlsx&amp;sheet=A0&amp;row=585&amp;col=11&amp;number=&amp;sourceID=46","")</f>
        <v/>
      </c>
      <c r="L585" s="4" t="str">
        <f>HYPERLINK("http://141.218.60.56/~jnz1568/getInfo.php?workbook=10_02.xlsx&amp;sheet=A0&amp;row=585&amp;col=12&amp;number=&amp;sourceID=47","")</f>
        <v/>
      </c>
    </row>
    <row r="586" spans="1:12">
      <c r="A586" s="3">
        <v>10</v>
      </c>
      <c r="B586" s="3">
        <v>2</v>
      </c>
      <c r="C586" s="3">
        <v>38</v>
      </c>
      <c r="D586" s="3">
        <v>20</v>
      </c>
      <c r="E586" s="3">
        <f>((1/(INDEX(E0!J$4:J$52,C586,1)-INDEX(E0!J$4:J$52,D586,1))))*100000000</f>
        <v>0</v>
      </c>
      <c r="F586" s="4" t="str">
        <f>HYPERLINK("http://141.218.60.56/~jnz1568/getInfo.php?workbook=10_02.xlsx&amp;sheet=A0&amp;row=586&amp;col=6&amp;number=&amp;sourceID=27","")</f>
        <v/>
      </c>
      <c r="G586" s="4" t="str">
        <f>HYPERLINK("http://141.218.60.56/~jnz1568/getInfo.php?workbook=10_02.xlsx&amp;sheet=A0&amp;row=586&amp;col=7&amp;number=6977000000&amp;sourceID=32","6977000000")</f>
        <v>6977000000</v>
      </c>
      <c r="H586" s="4" t="str">
        <f>HYPERLINK("http://141.218.60.56/~jnz1568/getInfo.php?workbook=10_02.xlsx&amp;sheet=A0&amp;row=586&amp;col=8&amp;number=&amp;sourceID=32","")</f>
        <v/>
      </c>
      <c r="I586" s="4" t="str">
        <f>HYPERLINK("http://141.218.60.56/~jnz1568/getInfo.php?workbook=10_02.xlsx&amp;sheet=A0&amp;row=586&amp;col=9&amp;number=&amp;sourceID=32","")</f>
        <v/>
      </c>
      <c r="J586" s="4" t="str">
        <f>HYPERLINK("http://141.218.60.56/~jnz1568/getInfo.php?workbook=10_02.xlsx&amp;sheet=A0&amp;row=586&amp;col=10&amp;number=1.091&amp;sourceID=32","1.091")</f>
        <v>1.091</v>
      </c>
      <c r="K586" s="4" t="str">
        <f>HYPERLINK("http://141.218.60.56/~jnz1568/getInfo.php?workbook=10_02.xlsx&amp;sheet=A0&amp;row=586&amp;col=11&amp;number=7002800000&amp;sourceID=46","7002800000")</f>
        <v>7002800000</v>
      </c>
      <c r="L586" s="4" t="str">
        <f>HYPERLINK("http://141.218.60.56/~jnz1568/getInfo.php?workbook=10_02.xlsx&amp;sheet=A0&amp;row=586&amp;col=12&amp;number=&amp;sourceID=47","")</f>
        <v/>
      </c>
    </row>
    <row r="587" spans="1:12">
      <c r="A587" s="3">
        <v>10</v>
      </c>
      <c r="B587" s="3">
        <v>2</v>
      </c>
      <c r="C587" s="3">
        <v>38</v>
      </c>
      <c r="D587" s="3">
        <v>21</v>
      </c>
      <c r="E587" s="3">
        <f>((1/(INDEX(E0!J$4:J$52,C587,1)-INDEX(E0!J$4:J$52,D587,1))))*100000000</f>
        <v>0</v>
      </c>
      <c r="F587" s="4" t="str">
        <f>HYPERLINK("http://141.218.60.56/~jnz1568/getInfo.php?workbook=10_02.xlsx&amp;sheet=A0&amp;row=587&amp;col=6&amp;number=&amp;sourceID=27","")</f>
        <v/>
      </c>
      <c r="G587" s="4" t="str">
        <f>HYPERLINK("http://141.218.60.56/~jnz1568/getInfo.php?workbook=10_02.xlsx&amp;sheet=A0&amp;row=587&amp;col=7&amp;number=&amp;sourceID=32","")</f>
        <v/>
      </c>
      <c r="H587" s="4" t="str">
        <f>HYPERLINK("http://141.218.60.56/~jnz1568/getInfo.php?workbook=10_02.xlsx&amp;sheet=A0&amp;row=587&amp;col=8&amp;number=7108&amp;sourceID=32","7108")</f>
        <v>7108</v>
      </c>
      <c r="I587" s="4" t="str">
        <f>HYPERLINK("http://141.218.60.56/~jnz1568/getInfo.php?workbook=10_02.xlsx&amp;sheet=A0&amp;row=587&amp;col=9&amp;number=&amp;sourceID=32","")</f>
        <v/>
      </c>
      <c r="J587" s="4" t="str">
        <f>HYPERLINK("http://141.218.60.56/~jnz1568/getInfo.php?workbook=10_02.xlsx&amp;sheet=A0&amp;row=587&amp;col=10&amp;number=&amp;sourceID=32","")</f>
        <v/>
      </c>
      <c r="K587" s="4" t="str">
        <f>HYPERLINK("http://141.218.60.56/~jnz1568/getInfo.php?workbook=10_02.xlsx&amp;sheet=A0&amp;row=587&amp;col=11&amp;number=4430.8&amp;sourceID=46","4430.8")</f>
        <v>4430.8</v>
      </c>
      <c r="L587" s="4" t="str">
        <f>HYPERLINK("http://141.218.60.56/~jnz1568/getInfo.php?workbook=10_02.xlsx&amp;sheet=A0&amp;row=587&amp;col=12&amp;number=&amp;sourceID=47","")</f>
        <v/>
      </c>
    </row>
    <row r="588" spans="1:12">
      <c r="A588" s="3">
        <v>10</v>
      </c>
      <c r="B588" s="3">
        <v>2</v>
      </c>
      <c r="C588" s="3">
        <v>38</v>
      </c>
      <c r="D588" s="3">
        <v>22</v>
      </c>
      <c r="E588" s="3">
        <f>((1/(INDEX(E0!J$4:J$52,C588,1)-INDEX(E0!J$4:J$52,D588,1))))*100000000</f>
        <v>0</v>
      </c>
      <c r="F588" s="4" t="str">
        <f>HYPERLINK("http://141.218.60.56/~jnz1568/getInfo.php?workbook=10_02.xlsx&amp;sheet=A0&amp;row=588&amp;col=6&amp;number=&amp;sourceID=27","")</f>
        <v/>
      </c>
      <c r="G588" s="4" t="str">
        <f>HYPERLINK("http://141.218.60.56/~jnz1568/getInfo.php?workbook=10_02.xlsx&amp;sheet=A0&amp;row=588&amp;col=7&amp;number=2309000000&amp;sourceID=32","2309000000")</f>
        <v>2309000000</v>
      </c>
      <c r="H588" s="4" t="str">
        <f>HYPERLINK("http://141.218.60.56/~jnz1568/getInfo.php?workbook=10_02.xlsx&amp;sheet=A0&amp;row=588&amp;col=8&amp;number=&amp;sourceID=32","")</f>
        <v/>
      </c>
      <c r="I588" s="4" t="str">
        <f>HYPERLINK("http://141.218.60.56/~jnz1568/getInfo.php?workbook=10_02.xlsx&amp;sheet=A0&amp;row=588&amp;col=9&amp;number=&amp;sourceID=32","")</f>
        <v/>
      </c>
      <c r="J588" s="4" t="str">
        <f>HYPERLINK("http://141.218.60.56/~jnz1568/getInfo.php?workbook=10_02.xlsx&amp;sheet=A0&amp;row=588&amp;col=10&amp;number=0.4363&amp;sourceID=32","0.4363")</f>
        <v>0.4363</v>
      </c>
      <c r="K588" s="4" t="str">
        <f>HYPERLINK("http://141.218.60.56/~jnz1568/getInfo.php?workbook=10_02.xlsx&amp;sheet=A0&amp;row=588&amp;col=11&amp;number=2323900000&amp;sourceID=46","2323900000")</f>
        <v>2323900000</v>
      </c>
      <c r="L588" s="4" t="str">
        <f>HYPERLINK("http://141.218.60.56/~jnz1568/getInfo.php?workbook=10_02.xlsx&amp;sheet=A0&amp;row=588&amp;col=12&amp;number=&amp;sourceID=47","")</f>
        <v/>
      </c>
    </row>
    <row r="589" spans="1:12">
      <c r="A589" s="3">
        <v>10</v>
      </c>
      <c r="B589" s="3">
        <v>2</v>
      </c>
      <c r="C589" s="3">
        <v>38</v>
      </c>
      <c r="D589" s="3">
        <v>23</v>
      </c>
      <c r="E589" s="3">
        <f>((1/(INDEX(E0!J$4:J$52,C589,1)-INDEX(E0!J$4:J$52,D589,1))))*100000000</f>
        <v>0</v>
      </c>
      <c r="F589" s="4" t="str">
        <f>HYPERLINK("http://141.218.60.56/~jnz1568/getInfo.php?workbook=10_02.xlsx&amp;sheet=A0&amp;row=589&amp;col=6&amp;number=&amp;sourceID=27","")</f>
        <v/>
      </c>
      <c r="G589" s="4" t="str">
        <f>HYPERLINK("http://141.218.60.56/~jnz1568/getInfo.php?workbook=10_02.xlsx&amp;sheet=A0&amp;row=589&amp;col=7&amp;number=&amp;sourceID=32","")</f>
        <v/>
      </c>
      <c r="H589" s="4" t="str">
        <f>HYPERLINK("http://141.218.60.56/~jnz1568/getInfo.php?workbook=10_02.xlsx&amp;sheet=A0&amp;row=589&amp;col=8&amp;number=48410&amp;sourceID=32","48410")</f>
        <v>48410</v>
      </c>
      <c r="I589" s="4" t="str">
        <f>HYPERLINK("http://141.218.60.56/~jnz1568/getInfo.php?workbook=10_02.xlsx&amp;sheet=A0&amp;row=589&amp;col=9&amp;number=0.0008202&amp;sourceID=32","0.0008202")</f>
        <v>0.0008202</v>
      </c>
      <c r="J589" s="4" t="str">
        <f>HYPERLINK("http://141.218.60.56/~jnz1568/getInfo.php?workbook=10_02.xlsx&amp;sheet=A0&amp;row=589&amp;col=10&amp;number=&amp;sourceID=32","")</f>
        <v/>
      </c>
      <c r="K589" s="4" t="str">
        <f>HYPERLINK("http://141.218.60.56/~jnz1568/getInfo.php?workbook=10_02.xlsx&amp;sheet=A0&amp;row=589&amp;col=11&amp;number=48847&amp;sourceID=46","48847")</f>
        <v>48847</v>
      </c>
      <c r="L589" s="4" t="str">
        <f>HYPERLINK("http://141.218.60.56/~jnz1568/getInfo.php?workbook=10_02.xlsx&amp;sheet=A0&amp;row=589&amp;col=12&amp;number=&amp;sourceID=47","")</f>
        <v/>
      </c>
    </row>
    <row r="590" spans="1:12">
      <c r="A590" s="3">
        <v>10</v>
      </c>
      <c r="B590" s="3">
        <v>2</v>
      </c>
      <c r="C590" s="3">
        <v>38</v>
      </c>
      <c r="D590" s="3">
        <v>24</v>
      </c>
      <c r="E590" s="3">
        <f>((1/(INDEX(E0!J$4:J$52,C590,1)-INDEX(E0!J$4:J$52,D590,1))))*100000000</f>
        <v>0</v>
      </c>
      <c r="F590" s="4" t="str">
        <f>HYPERLINK("http://141.218.60.56/~jnz1568/getInfo.php?workbook=10_02.xlsx&amp;sheet=A0&amp;row=590&amp;col=6&amp;number=&amp;sourceID=27","")</f>
        <v/>
      </c>
      <c r="G590" s="4" t="str">
        <f>HYPERLINK("http://141.218.60.56/~jnz1568/getInfo.php?workbook=10_02.xlsx&amp;sheet=A0&amp;row=590&amp;col=7&amp;number=&amp;sourceID=32","")</f>
        <v/>
      </c>
      <c r="H590" s="4" t="str">
        <f>HYPERLINK("http://141.218.60.56/~jnz1568/getInfo.php?workbook=10_02.xlsx&amp;sheet=A0&amp;row=590&amp;col=8&amp;number=37200&amp;sourceID=32","37200")</f>
        <v>37200</v>
      </c>
      <c r="I590" s="4" t="str">
        <f>HYPERLINK("http://141.218.60.56/~jnz1568/getInfo.php?workbook=10_02.xlsx&amp;sheet=A0&amp;row=590&amp;col=9&amp;number=0.004615&amp;sourceID=32","0.004615")</f>
        <v>0.004615</v>
      </c>
      <c r="J590" s="4" t="str">
        <f>HYPERLINK("http://141.218.60.56/~jnz1568/getInfo.php?workbook=10_02.xlsx&amp;sheet=A0&amp;row=590&amp;col=10&amp;number=&amp;sourceID=32","")</f>
        <v/>
      </c>
      <c r="K590" s="4" t="str">
        <f>HYPERLINK("http://141.218.60.56/~jnz1568/getInfo.php?workbook=10_02.xlsx&amp;sheet=A0&amp;row=590&amp;col=11&amp;number=36511&amp;sourceID=46","36511")</f>
        <v>36511</v>
      </c>
      <c r="L590" s="4" t="str">
        <f>HYPERLINK("http://141.218.60.56/~jnz1568/getInfo.php?workbook=10_02.xlsx&amp;sheet=A0&amp;row=590&amp;col=12&amp;number=&amp;sourceID=47","")</f>
        <v/>
      </c>
    </row>
    <row r="591" spans="1:12">
      <c r="A591" s="3">
        <v>10</v>
      </c>
      <c r="B591" s="3">
        <v>2</v>
      </c>
      <c r="C591" s="3">
        <v>38</v>
      </c>
      <c r="D591" s="3">
        <v>25</v>
      </c>
      <c r="E591" s="3">
        <f>((1/(INDEX(E0!J$4:J$52,C591,1)-INDEX(E0!J$4:J$52,D591,1))))*100000000</f>
        <v>0</v>
      </c>
      <c r="F591" s="4" t="str">
        <f>HYPERLINK("http://141.218.60.56/~jnz1568/getInfo.php?workbook=10_02.xlsx&amp;sheet=A0&amp;row=591&amp;col=6&amp;number=&amp;sourceID=27","")</f>
        <v/>
      </c>
      <c r="G591" s="4" t="str">
        <f>HYPERLINK("http://141.218.60.56/~jnz1568/getInfo.php?workbook=10_02.xlsx&amp;sheet=A0&amp;row=591&amp;col=7&amp;number=&amp;sourceID=32","")</f>
        <v/>
      </c>
      <c r="H591" s="4" t="str">
        <f>HYPERLINK("http://141.218.60.56/~jnz1568/getInfo.php?workbook=10_02.xlsx&amp;sheet=A0&amp;row=591&amp;col=8&amp;number=55240&amp;sourceID=32","55240")</f>
        <v>55240</v>
      </c>
      <c r="I591" s="4" t="str">
        <f>HYPERLINK("http://141.218.60.56/~jnz1568/getInfo.php?workbook=10_02.xlsx&amp;sheet=A0&amp;row=591&amp;col=9&amp;number=0.008509&amp;sourceID=32","0.008509")</f>
        <v>0.008509</v>
      </c>
      <c r="J591" s="4" t="str">
        <f>HYPERLINK("http://141.218.60.56/~jnz1568/getInfo.php?workbook=10_02.xlsx&amp;sheet=A0&amp;row=591&amp;col=10&amp;number=&amp;sourceID=32","")</f>
        <v/>
      </c>
      <c r="K591" s="4" t="str">
        <f>HYPERLINK("http://141.218.60.56/~jnz1568/getInfo.php?workbook=10_02.xlsx&amp;sheet=A0&amp;row=591&amp;col=11&amp;number=55734&amp;sourceID=46","55734")</f>
        <v>55734</v>
      </c>
      <c r="L591" s="4" t="str">
        <f>HYPERLINK("http://141.218.60.56/~jnz1568/getInfo.php?workbook=10_02.xlsx&amp;sheet=A0&amp;row=591&amp;col=12&amp;number=&amp;sourceID=47","")</f>
        <v/>
      </c>
    </row>
    <row r="592" spans="1:12">
      <c r="A592" s="3">
        <v>10</v>
      </c>
      <c r="B592" s="3">
        <v>2</v>
      </c>
      <c r="C592" s="3">
        <v>38</v>
      </c>
      <c r="D592" s="3">
        <v>26</v>
      </c>
      <c r="E592" s="3">
        <f>((1/(INDEX(E0!J$4:J$52,C592,1)-INDEX(E0!J$4:J$52,D592,1))))*100000000</f>
        <v>0</v>
      </c>
      <c r="F592" s="4" t="str">
        <f>HYPERLINK("http://141.218.60.56/~jnz1568/getInfo.php?workbook=10_02.xlsx&amp;sheet=A0&amp;row=592&amp;col=6&amp;number=&amp;sourceID=27","")</f>
        <v/>
      </c>
      <c r="G592" s="4" t="str">
        <f>HYPERLINK("http://141.218.60.56/~jnz1568/getInfo.php?workbook=10_02.xlsx&amp;sheet=A0&amp;row=592&amp;col=7&amp;number=223000000&amp;sourceID=32","223000000")</f>
        <v>223000000</v>
      </c>
      <c r="H592" s="4" t="str">
        <f>HYPERLINK("http://141.218.60.56/~jnz1568/getInfo.php?workbook=10_02.xlsx&amp;sheet=A0&amp;row=592&amp;col=8&amp;number=&amp;sourceID=32","")</f>
        <v/>
      </c>
      <c r="I592" s="4" t="str">
        <f>HYPERLINK("http://141.218.60.56/~jnz1568/getInfo.php?workbook=10_02.xlsx&amp;sheet=A0&amp;row=592&amp;col=9&amp;number=&amp;sourceID=32","")</f>
        <v/>
      </c>
      <c r="J592" s="4" t="str">
        <f>HYPERLINK("http://141.218.60.56/~jnz1568/getInfo.php?workbook=10_02.xlsx&amp;sheet=A0&amp;row=592&amp;col=10&amp;number=0.02276&amp;sourceID=32","0.02276")</f>
        <v>0.02276</v>
      </c>
      <c r="K592" s="4" t="str">
        <f>HYPERLINK("http://141.218.60.56/~jnz1568/getInfo.php?workbook=10_02.xlsx&amp;sheet=A0&amp;row=592&amp;col=11&amp;number=217470000&amp;sourceID=46","217470000")</f>
        <v>217470000</v>
      </c>
      <c r="L592" s="4" t="str">
        <f>HYPERLINK("http://141.218.60.56/~jnz1568/getInfo.php?workbook=10_02.xlsx&amp;sheet=A0&amp;row=592&amp;col=12&amp;number=&amp;sourceID=47","")</f>
        <v/>
      </c>
    </row>
    <row r="593" spans="1:12">
      <c r="A593" s="3">
        <v>10</v>
      </c>
      <c r="B593" s="3">
        <v>2</v>
      </c>
      <c r="C593" s="3">
        <v>38</v>
      </c>
      <c r="D593" s="3">
        <v>27</v>
      </c>
      <c r="E593" s="3">
        <f>((1/(INDEX(E0!J$4:J$52,C593,1)-INDEX(E0!J$4:J$52,D593,1))))*100000000</f>
        <v>0</v>
      </c>
      <c r="F593" s="4" t="str">
        <f>HYPERLINK("http://141.218.60.56/~jnz1568/getInfo.php?workbook=10_02.xlsx&amp;sheet=A0&amp;row=593&amp;col=6&amp;number=&amp;sourceID=27","")</f>
        <v/>
      </c>
      <c r="G593" s="4" t="str">
        <f>HYPERLINK("http://141.218.60.56/~jnz1568/getInfo.php?workbook=10_02.xlsx&amp;sheet=A0&amp;row=593&amp;col=7&amp;number=36580000&amp;sourceID=32","36580000")</f>
        <v>36580000</v>
      </c>
      <c r="H593" s="4" t="str">
        <f>HYPERLINK("http://141.218.60.56/~jnz1568/getInfo.php?workbook=10_02.xlsx&amp;sheet=A0&amp;row=593&amp;col=8&amp;number=&amp;sourceID=32","")</f>
        <v/>
      </c>
      <c r="I593" s="4" t="str">
        <f>HYPERLINK("http://141.218.60.56/~jnz1568/getInfo.php?workbook=10_02.xlsx&amp;sheet=A0&amp;row=593&amp;col=9&amp;number=&amp;sourceID=32","")</f>
        <v/>
      </c>
      <c r="J593" s="4" t="str">
        <f>HYPERLINK("http://141.218.60.56/~jnz1568/getInfo.php?workbook=10_02.xlsx&amp;sheet=A0&amp;row=593&amp;col=10&amp;number=0.00527&amp;sourceID=32","0.00527")</f>
        <v>0.00527</v>
      </c>
      <c r="K593" s="4" t="str">
        <f>HYPERLINK("http://141.218.60.56/~jnz1568/getInfo.php?workbook=10_02.xlsx&amp;sheet=A0&amp;row=593&amp;col=11&amp;number=36929000&amp;sourceID=46","36929000")</f>
        <v>36929000</v>
      </c>
      <c r="L593" s="4" t="str">
        <f>HYPERLINK("http://141.218.60.56/~jnz1568/getInfo.php?workbook=10_02.xlsx&amp;sheet=A0&amp;row=593&amp;col=12&amp;number=&amp;sourceID=47","")</f>
        <v/>
      </c>
    </row>
    <row r="594" spans="1:12">
      <c r="A594" s="3">
        <v>10</v>
      </c>
      <c r="B594" s="3">
        <v>2</v>
      </c>
      <c r="C594" s="3">
        <v>38</v>
      </c>
      <c r="D594" s="3">
        <v>29</v>
      </c>
      <c r="E594" s="3">
        <f>((1/(INDEX(E0!J$4:J$52,C594,1)-INDEX(E0!J$4:J$52,D594,1))))*100000000</f>
        <v>0</v>
      </c>
      <c r="F594" s="4" t="str">
        <f>HYPERLINK("http://141.218.60.56/~jnz1568/getInfo.php?workbook=10_02.xlsx&amp;sheet=A0&amp;row=594&amp;col=6&amp;number=&amp;sourceID=27","")</f>
        <v/>
      </c>
      <c r="G594" s="4" t="str">
        <f>HYPERLINK("http://141.218.60.56/~jnz1568/getInfo.php?workbook=10_02.xlsx&amp;sheet=A0&amp;row=594&amp;col=7&amp;number=&amp;sourceID=32","")</f>
        <v/>
      </c>
      <c r="H594" s="4" t="str">
        <f>HYPERLINK("http://141.218.60.56/~jnz1568/getInfo.php?workbook=10_02.xlsx&amp;sheet=A0&amp;row=594&amp;col=8&amp;number=678.2&amp;sourceID=32","678.2")</f>
        <v>678.2</v>
      </c>
      <c r="I594" s="4" t="str">
        <f>HYPERLINK("http://141.218.60.56/~jnz1568/getInfo.php?workbook=10_02.xlsx&amp;sheet=A0&amp;row=594&amp;col=9&amp;number=0.00361&amp;sourceID=32","0.00361")</f>
        <v>0.00361</v>
      </c>
      <c r="J594" s="4" t="str">
        <f>HYPERLINK("http://141.218.60.56/~jnz1568/getInfo.php?workbook=10_02.xlsx&amp;sheet=A0&amp;row=594&amp;col=10&amp;number=&amp;sourceID=32","")</f>
        <v/>
      </c>
      <c r="K594" s="4" t="str">
        <f>HYPERLINK("http://141.218.60.56/~jnz1568/getInfo.php?workbook=10_02.xlsx&amp;sheet=A0&amp;row=594&amp;col=11&amp;number=424.48&amp;sourceID=46","424.48")</f>
        <v>424.48</v>
      </c>
      <c r="L594" s="4" t="str">
        <f>HYPERLINK("http://141.218.60.56/~jnz1568/getInfo.php?workbook=10_02.xlsx&amp;sheet=A0&amp;row=594&amp;col=12&amp;number=&amp;sourceID=47","")</f>
        <v/>
      </c>
    </row>
    <row r="595" spans="1:12">
      <c r="A595" s="3">
        <v>10</v>
      </c>
      <c r="B595" s="3">
        <v>2</v>
      </c>
      <c r="C595" s="3">
        <v>38</v>
      </c>
      <c r="D595" s="3">
        <v>30</v>
      </c>
      <c r="E595" s="3">
        <f>((1/(INDEX(E0!J$4:J$52,C595,1)-INDEX(E0!J$4:J$52,D595,1))))*100000000</f>
        <v>0</v>
      </c>
      <c r="F595" s="4" t="str">
        <f>HYPERLINK("http://141.218.60.56/~jnz1568/getInfo.php?workbook=10_02.xlsx&amp;sheet=A0&amp;row=595&amp;col=6&amp;number=&amp;sourceID=27","")</f>
        <v/>
      </c>
      <c r="G595" s="4" t="str">
        <f>HYPERLINK("http://141.218.60.56/~jnz1568/getInfo.php?workbook=10_02.xlsx&amp;sheet=A0&amp;row=595&amp;col=7&amp;number=77430000&amp;sourceID=32","77430000")</f>
        <v>77430000</v>
      </c>
      <c r="H595" s="4" t="str">
        <f>HYPERLINK("http://141.218.60.56/~jnz1568/getInfo.php?workbook=10_02.xlsx&amp;sheet=A0&amp;row=595&amp;col=8&amp;number=&amp;sourceID=32","")</f>
        <v/>
      </c>
      <c r="I595" s="4" t="str">
        <f>HYPERLINK("http://141.218.60.56/~jnz1568/getInfo.php?workbook=10_02.xlsx&amp;sheet=A0&amp;row=595&amp;col=9&amp;number=&amp;sourceID=32","")</f>
        <v/>
      </c>
      <c r="J595" s="4" t="str">
        <f>HYPERLINK("http://141.218.60.56/~jnz1568/getInfo.php?workbook=10_02.xlsx&amp;sheet=A0&amp;row=595&amp;col=10&amp;number=0.1007&amp;sourceID=32","0.1007")</f>
        <v>0.1007</v>
      </c>
      <c r="K595" s="4" t="str">
        <f>HYPERLINK("http://141.218.60.56/~jnz1568/getInfo.php?workbook=10_02.xlsx&amp;sheet=A0&amp;row=595&amp;col=11&amp;number=82797000&amp;sourceID=46","82797000")</f>
        <v>82797000</v>
      </c>
      <c r="L595" s="4" t="str">
        <f>HYPERLINK("http://141.218.60.56/~jnz1568/getInfo.php?workbook=10_02.xlsx&amp;sheet=A0&amp;row=595&amp;col=12&amp;number=&amp;sourceID=47","")</f>
        <v/>
      </c>
    </row>
    <row r="596" spans="1:12">
      <c r="A596" s="3">
        <v>10</v>
      </c>
      <c r="B596" s="3">
        <v>2</v>
      </c>
      <c r="C596" s="3">
        <v>38</v>
      </c>
      <c r="D596" s="3">
        <v>31</v>
      </c>
      <c r="E596" s="3">
        <f>((1/(INDEX(E0!J$4:J$52,C596,1)-INDEX(E0!J$4:J$52,D596,1))))*100000000</f>
        <v>0</v>
      </c>
      <c r="F596" s="4" t="str">
        <f>HYPERLINK("http://141.218.60.56/~jnz1568/getInfo.php?workbook=10_02.xlsx&amp;sheet=A0&amp;row=596&amp;col=6&amp;number=&amp;sourceID=27","")</f>
        <v/>
      </c>
      <c r="G596" s="4" t="str">
        <f>HYPERLINK("http://141.218.60.56/~jnz1568/getInfo.php?workbook=10_02.xlsx&amp;sheet=A0&amp;row=596&amp;col=7&amp;number=171000000&amp;sourceID=32","171000000")</f>
        <v>171000000</v>
      </c>
      <c r="H596" s="4" t="str">
        <f>HYPERLINK("http://141.218.60.56/~jnz1568/getInfo.php?workbook=10_02.xlsx&amp;sheet=A0&amp;row=596&amp;col=8&amp;number=&amp;sourceID=32","")</f>
        <v/>
      </c>
      <c r="I596" s="4" t="str">
        <f>HYPERLINK("http://141.218.60.56/~jnz1568/getInfo.php?workbook=10_02.xlsx&amp;sheet=A0&amp;row=596&amp;col=9&amp;number=&amp;sourceID=32","")</f>
        <v/>
      </c>
      <c r="J596" s="4" t="str">
        <f>HYPERLINK("http://141.218.60.56/~jnz1568/getInfo.php?workbook=10_02.xlsx&amp;sheet=A0&amp;row=596&amp;col=10&amp;number=0.2605&amp;sourceID=32","0.2605")</f>
        <v>0.2605</v>
      </c>
      <c r="K596" s="4" t="str">
        <f>HYPERLINK("http://141.218.60.56/~jnz1568/getInfo.php?workbook=10_02.xlsx&amp;sheet=A0&amp;row=596&amp;col=11&amp;number=106050000&amp;sourceID=46","106050000")</f>
        <v>106050000</v>
      </c>
      <c r="L596" s="4" t="str">
        <f>HYPERLINK("http://141.218.60.56/~jnz1568/getInfo.php?workbook=10_02.xlsx&amp;sheet=A0&amp;row=596&amp;col=12&amp;number=&amp;sourceID=47","")</f>
        <v/>
      </c>
    </row>
    <row r="597" spans="1:12">
      <c r="A597" s="3">
        <v>10</v>
      </c>
      <c r="B597" s="3">
        <v>2</v>
      </c>
      <c r="C597" s="3">
        <v>38</v>
      </c>
      <c r="D597" s="3">
        <v>32</v>
      </c>
      <c r="E597" s="3">
        <f>((1/(INDEX(E0!J$4:J$52,C597,1)-INDEX(E0!J$4:J$52,D597,1))))*100000000</f>
        <v>0</v>
      </c>
      <c r="F597" s="4" t="str">
        <f>HYPERLINK("http://141.218.60.56/~jnz1568/getInfo.php?workbook=10_02.xlsx&amp;sheet=A0&amp;row=597&amp;col=6&amp;number=&amp;sourceID=27","")</f>
        <v/>
      </c>
      <c r="G597" s="4" t="str">
        <f>HYPERLINK("http://141.218.60.56/~jnz1568/getInfo.php?workbook=10_02.xlsx&amp;sheet=A0&amp;row=597&amp;col=7&amp;number=&amp;sourceID=32","")</f>
        <v/>
      </c>
      <c r="H597" s="4" t="str">
        <f>HYPERLINK("http://141.218.60.56/~jnz1568/getInfo.php?workbook=10_02.xlsx&amp;sheet=A0&amp;row=597&amp;col=8&amp;number=0.1066&amp;sourceID=32","0.1066")</f>
        <v>0.1066</v>
      </c>
      <c r="I597" s="4" t="str">
        <f>HYPERLINK("http://141.218.60.56/~jnz1568/getInfo.php?workbook=10_02.xlsx&amp;sheet=A0&amp;row=597&amp;col=9&amp;number=7.683e-07&amp;sourceID=32","7.683e-07")</f>
        <v>7.683e-07</v>
      </c>
      <c r="J597" s="4" t="str">
        <f>HYPERLINK("http://141.218.60.56/~jnz1568/getInfo.php?workbook=10_02.xlsx&amp;sheet=A0&amp;row=597&amp;col=10&amp;number=&amp;sourceID=32","")</f>
        <v/>
      </c>
      <c r="K597" s="4" t="str">
        <f>HYPERLINK("http://141.218.60.56/~jnz1568/getInfo.php?workbook=10_02.xlsx&amp;sheet=A0&amp;row=597&amp;col=11&amp;number=&amp;sourceID=46","")</f>
        <v/>
      </c>
      <c r="L597" s="4" t="str">
        <f>HYPERLINK("http://141.218.60.56/~jnz1568/getInfo.php?workbook=10_02.xlsx&amp;sheet=A0&amp;row=597&amp;col=12&amp;number=&amp;sourceID=47","")</f>
        <v/>
      </c>
    </row>
    <row r="598" spans="1:12">
      <c r="A598" s="3">
        <v>10</v>
      </c>
      <c r="B598" s="3">
        <v>2</v>
      </c>
      <c r="C598" s="3">
        <v>38</v>
      </c>
      <c r="D598" s="3">
        <v>33</v>
      </c>
      <c r="E598" s="3">
        <f>((1/(INDEX(E0!J$4:J$52,C598,1)-INDEX(E0!J$4:J$52,D598,1))))*100000000</f>
        <v>0</v>
      </c>
      <c r="F598" s="4" t="str">
        <f>HYPERLINK("http://141.218.60.56/~jnz1568/getInfo.php?workbook=10_02.xlsx&amp;sheet=A0&amp;row=598&amp;col=6&amp;number=&amp;sourceID=27","")</f>
        <v/>
      </c>
      <c r="G598" s="4" t="str">
        <f>HYPERLINK("http://141.218.60.56/~jnz1568/getInfo.php?workbook=10_02.xlsx&amp;sheet=A0&amp;row=598&amp;col=7&amp;number=&amp;sourceID=32","")</f>
        <v/>
      </c>
      <c r="H598" s="4" t="str">
        <f>HYPERLINK("http://141.218.60.56/~jnz1568/getInfo.php?workbook=10_02.xlsx&amp;sheet=A0&amp;row=598&amp;col=8&amp;number=&amp;sourceID=32","")</f>
        <v/>
      </c>
      <c r="I598" s="4" t="str">
        <f>HYPERLINK("http://141.218.60.56/~jnz1568/getInfo.php?workbook=10_02.xlsx&amp;sheet=A0&amp;row=598&amp;col=9&amp;number=&amp;sourceID=32","")</f>
        <v/>
      </c>
      <c r="J598" s="4" t="str">
        <f>HYPERLINK("http://141.218.60.56/~jnz1568/getInfo.php?workbook=10_02.xlsx&amp;sheet=A0&amp;row=598&amp;col=10&amp;number=1.133e-10&amp;sourceID=32","1.133e-10")</f>
        <v>1.133e-10</v>
      </c>
      <c r="K598" s="4" t="str">
        <f>HYPERLINK("http://141.218.60.56/~jnz1568/getInfo.php?workbook=10_02.xlsx&amp;sheet=A0&amp;row=598&amp;col=11&amp;number=&amp;sourceID=46","")</f>
        <v/>
      </c>
      <c r="L598" s="4" t="str">
        <f>HYPERLINK("http://141.218.60.56/~jnz1568/getInfo.php?workbook=10_02.xlsx&amp;sheet=A0&amp;row=598&amp;col=12&amp;number=&amp;sourceID=47","")</f>
        <v/>
      </c>
    </row>
    <row r="599" spans="1:12">
      <c r="A599" s="3">
        <v>10</v>
      </c>
      <c r="B599" s="3">
        <v>2</v>
      </c>
      <c r="C599" s="3">
        <v>38</v>
      </c>
      <c r="D599" s="3">
        <v>34</v>
      </c>
      <c r="E599" s="3">
        <f>((1/(INDEX(E0!J$4:J$52,C599,1)-INDEX(E0!J$4:J$52,D599,1))))*100000000</f>
        <v>0</v>
      </c>
      <c r="F599" s="4" t="str">
        <f>HYPERLINK("http://141.218.60.56/~jnz1568/getInfo.php?workbook=10_02.xlsx&amp;sheet=A0&amp;row=599&amp;col=6&amp;number=&amp;sourceID=27","")</f>
        <v/>
      </c>
      <c r="G599" s="4" t="str">
        <f>HYPERLINK("http://141.218.60.56/~jnz1568/getInfo.php?workbook=10_02.xlsx&amp;sheet=A0&amp;row=599&amp;col=7&amp;number=&amp;sourceID=32","")</f>
        <v/>
      </c>
      <c r="H599" s="4" t="str">
        <f>HYPERLINK("http://141.218.60.56/~jnz1568/getInfo.php?workbook=10_02.xlsx&amp;sheet=A0&amp;row=599&amp;col=8&amp;number=1.588e-05&amp;sourceID=32","1.588e-05")</f>
        <v>1.588e-05</v>
      </c>
      <c r="I599" s="4" t="str">
        <f>HYPERLINK("http://141.218.60.56/~jnz1568/getInfo.php?workbook=10_02.xlsx&amp;sheet=A0&amp;row=599&amp;col=9&amp;number=&amp;sourceID=32","")</f>
        <v/>
      </c>
      <c r="J599" s="4" t="str">
        <f>HYPERLINK("http://141.218.60.56/~jnz1568/getInfo.php?workbook=10_02.xlsx&amp;sheet=A0&amp;row=599&amp;col=10&amp;number=&amp;sourceID=32","")</f>
        <v/>
      </c>
      <c r="K599" s="4" t="str">
        <f>HYPERLINK("http://141.218.60.56/~jnz1568/getInfo.php?workbook=10_02.xlsx&amp;sheet=A0&amp;row=599&amp;col=11&amp;number=&amp;sourceID=46","")</f>
        <v/>
      </c>
      <c r="L599" s="4" t="str">
        <f>HYPERLINK("http://141.218.60.56/~jnz1568/getInfo.php?workbook=10_02.xlsx&amp;sheet=A0&amp;row=599&amp;col=12&amp;number=&amp;sourceID=47","")</f>
        <v/>
      </c>
    </row>
    <row r="600" spans="1:12">
      <c r="A600" s="3">
        <v>10</v>
      </c>
      <c r="B600" s="3">
        <v>2</v>
      </c>
      <c r="C600" s="3">
        <v>38</v>
      </c>
      <c r="D600" s="3">
        <v>35</v>
      </c>
      <c r="E600" s="3">
        <f>((1/(INDEX(E0!J$4:J$52,C600,1)-INDEX(E0!J$4:J$52,D600,1))))*100000000</f>
        <v>0</v>
      </c>
      <c r="F600" s="4" t="str">
        <f>HYPERLINK("http://141.218.60.56/~jnz1568/getInfo.php?workbook=10_02.xlsx&amp;sheet=A0&amp;row=600&amp;col=6&amp;number=&amp;sourceID=27","")</f>
        <v/>
      </c>
      <c r="G600" s="4" t="str">
        <f>HYPERLINK("http://141.218.60.56/~jnz1568/getInfo.php?workbook=10_02.xlsx&amp;sheet=A0&amp;row=600&amp;col=7&amp;number=138000&amp;sourceID=32","138000")</f>
        <v>138000</v>
      </c>
      <c r="H600" s="4" t="str">
        <f>HYPERLINK("http://141.218.60.56/~jnz1568/getInfo.php?workbook=10_02.xlsx&amp;sheet=A0&amp;row=600&amp;col=8&amp;number=&amp;sourceID=32","")</f>
        <v/>
      </c>
      <c r="I600" s="4" t="str">
        <f>HYPERLINK("http://141.218.60.56/~jnz1568/getInfo.php?workbook=10_02.xlsx&amp;sheet=A0&amp;row=600&amp;col=9&amp;number=&amp;sourceID=32","")</f>
        <v/>
      </c>
      <c r="J600" s="4" t="str">
        <f>HYPERLINK("http://141.218.60.56/~jnz1568/getInfo.php?workbook=10_02.xlsx&amp;sheet=A0&amp;row=600&amp;col=10&amp;number=3.223e-09&amp;sourceID=32","3.223e-09")</f>
        <v>3.223e-09</v>
      </c>
      <c r="K600" s="4" t="str">
        <f>HYPERLINK("http://141.218.60.56/~jnz1568/getInfo.php?workbook=10_02.xlsx&amp;sheet=A0&amp;row=600&amp;col=11&amp;number=151540&amp;sourceID=46","151540")</f>
        <v>151540</v>
      </c>
      <c r="L600" s="4" t="str">
        <f>HYPERLINK("http://141.218.60.56/~jnz1568/getInfo.php?workbook=10_02.xlsx&amp;sheet=A0&amp;row=600&amp;col=12&amp;number=&amp;sourceID=47","")</f>
        <v/>
      </c>
    </row>
    <row r="601" spans="1:12">
      <c r="A601" s="3">
        <v>10</v>
      </c>
      <c r="B601" s="3">
        <v>2</v>
      </c>
      <c r="C601" s="3">
        <v>38</v>
      </c>
      <c r="D601" s="3">
        <v>36</v>
      </c>
      <c r="E601" s="3">
        <f>((1/(INDEX(E0!J$4:J$52,C601,1)-INDEX(E0!J$4:J$52,D601,1))))*100000000</f>
        <v>0</v>
      </c>
      <c r="F601" s="4" t="str">
        <f>HYPERLINK("http://141.218.60.56/~jnz1568/getInfo.php?workbook=10_02.xlsx&amp;sheet=A0&amp;row=601&amp;col=6&amp;number=&amp;sourceID=27","")</f>
        <v/>
      </c>
      <c r="G601" s="4" t="str">
        <f>HYPERLINK("http://141.218.60.56/~jnz1568/getInfo.php?workbook=10_02.xlsx&amp;sheet=A0&amp;row=601&amp;col=7&amp;number=40050&amp;sourceID=32","40050")</f>
        <v>40050</v>
      </c>
      <c r="H601" s="4" t="str">
        <f>HYPERLINK("http://141.218.60.56/~jnz1568/getInfo.php?workbook=10_02.xlsx&amp;sheet=A0&amp;row=601&amp;col=8&amp;number=&amp;sourceID=32","")</f>
        <v/>
      </c>
      <c r="I601" s="4" t="str">
        <f>HYPERLINK("http://141.218.60.56/~jnz1568/getInfo.php?workbook=10_02.xlsx&amp;sheet=A0&amp;row=601&amp;col=9&amp;number=&amp;sourceID=32","")</f>
        <v/>
      </c>
      <c r="J601" s="4" t="str">
        <f>HYPERLINK("http://141.218.60.56/~jnz1568/getInfo.php?workbook=10_02.xlsx&amp;sheet=A0&amp;row=601&amp;col=10&amp;number=1.039e-09&amp;sourceID=32","1.039e-09")</f>
        <v>1.039e-09</v>
      </c>
      <c r="K601" s="4" t="str">
        <f>HYPERLINK("http://141.218.60.56/~jnz1568/getInfo.php?workbook=10_02.xlsx&amp;sheet=A0&amp;row=601&amp;col=11&amp;number=43862&amp;sourceID=46","43862")</f>
        <v>43862</v>
      </c>
      <c r="L601" s="4" t="str">
        <f>HYPERLINK("http://141.218.60.56/~jnz1568/getInfo.php?workbook=10_02.xlsx&amp;sheet=A0&amp;row=601&amp;col=12&amp;number=&amp;sourceID=47","")</f>
        <v/>
      </c>
    </row>
    <row r="602" spans="1:12">
      <c r="A602" s="3">
        <v>10</v>
      </c>
      <c r="B602" s="3">
        <v>2</v>
      </c>
      <c r="C602" s="3">
        <v>39</v>
      </c>
      <c r="D602" s="3">
        <v>2</v>
      </c>
      <c r="E602" s="3">
        <f>((1/(INDEX(E0!J$4:J$52,C602,1)-INDEX(E0!J$4:J$52,D602,1))))*100000000</f>
        <v>0</v>
      </c>
      <c r="F602" s="4" t="str">
        <f>HYPERLINK("http://141.218.60.56/~jnz1568/getInfo.php?workbook=10_02.xlsx&amp;sheet=A0&amp;row=602&amp;col=6&amp;number=&amp;sourceID=27","")</f>
        <v/>
      </c>
      <c r="G602" s="4" t="str">
        <f>HYPERLINK("http://141.218.60.56/~jnz1568/getInfo.php?workbook=10_02.xlsx&amp;sheet=A0&amp;row=602&amp;col=7&amp;number=&amp;sourceID=32","")</f>
        <v/>
      </c>
      <c r="H602" s="4" t="str">
        <f>HYPERLINK("http://141.218.60.56/~jnz1568/getInfo.php?workbook=10_02.xlsx&amp;sheet=A0&amp;row=602&amp;col=8&amp;number=1370000&amp;sourceID=32","1370000")</f>
        <v>1370000</v>
      </c>
      <c r="I602" s="4" t="str">
        <f>HYPERLINK("http://141.218.60.56/~jnz1568/getInfo.php?workbook=10_02.xlsx&amp;sheet=A0&amp;row=602&amp;col=9&amp;number=&amp;sourceID=32","")</f>
        <v/>
      </c>
      <c r="J602" s="4" t="str">
        <f>HYPERLINK("http://141.218.60.56/~jnz1568/getInfo.php?workbook=10_02.xlsx&amp;sheet=A0&amp;row=602&amp;col=10&amp;number=&amp;sourceID=32","")</f>
        <v/>
      </c>
      <c r="K602" s="4" t="str">
        <f>HYPERLINK("http://141.218.60.56/~jnz1568/getInfo.php?workbook=10_02.xlsx&amp;sheet=A0&amp;row=602&amp;col=11&amp;number=1089200&amp;sourceID=46","1089200")</f>
        <v>1089200</v>
      </c>
      <c r="L602" s="4" t="str">
        <f>HYPERLINK("http://141.218.60.56/~jnz1568/getInfo.php?workbook=10_02.xlsx&amp;sheet=A0&amp;row=602&amp;col=12&amp;number=&amp;sourceID=47","")</f>
        <v/>
      </c>
    </row>
    <row r="603" spans="1:12">
      <c r="A603" s="3">
        <v>10</v>
      </c>
      <c r="B603" s="3">
        <v>2</v>
      </c>
      <c r="C603" s="3">
        <v>39</v>
      </c>
      <c r="D603" s="3">
        <v>3</v>
      </c>
      <c r="E603" s="3">
        <f>((1/(INDEX(E0!J$4:J$52,C603,1)-INDEX(E0!J$4:J$52,D603,1))))*100000000</f>
        <v>0</v>
      </c>
      <c r="F603" s="4" t="str">
        <f>HYPERLINK("http://141.218.60.56/~jnz1568/getInfo.php?workbook=10_02.xlsx&amp;sheet=A0&amp;row=603&amp;col=6&amp;number=&amp;sourceID=27","")</f>
        <v/>
      </c>
      <c r="G603" s="4" t="str">
        <f>HYPERLINK("http://141.218.60.56/~jnz1568/getInfo.php?workbook=10_02.xlsx&amp;sheet=A0&amp;row=603&amp;col=7&amp;number=&amp;sourceID=32","")</f>
        <v/>
      </c>
      <c r="H603" s="4" t="str">
        <f>HYPERLINK("http://141.218.60.56/~jnz1568/getInfo.php?workbook=10_02.xlsx&amp;sheet=A0&amp;row=603&amp;col=8&amp;number=&amp;sourceID=32","")</f>
        <v/>
      </c>
      <c r="I603" s="4" t="str">
        <f>HYPERLINK("http://141.218.60.56/~jnz1568/getInfo.php?workbook=10_02.xlsx&amp;sheet=A0&amp;row=603&amp;col=9&amp;number=&amp;sourceID=32","")</f>
        <v/>
      </c>
      <c r="J603" s="4" t="str">
        <f>HYPERLINK("http://141.218.60.56/~jnz1568/getInfo.php?workbook=10_02.xlsx&amp;sheet=A0&amp;row=603&amp;col=10&amp;number=&amp;sourceID=32","")</f>
        <v/>
      </c>
      <c r="K603" s="4" t="str">
        <f>HYPERLINK("http://141.218.60.56/~jnz1568/getInfo.php?workbook=10_02.xlsx&amp;sheet=A0&amp;row=603&amp;col=11&amp;number=5.459&amp;sourceID=46","5.459")</f>
        <v>5.459</v>
      </c>
      <c r="L603" s="4" t="str">
        <f>HYPERLINK("http://141.218.60.56/~jnz1568/getInfo.php?workbook=10_02.xlsx&amp;sheet=A0&amp;row=603&amp;col=12&amp;number=&amp;sourceID=47","")</f>
        <v/>
      </c>
    </row>
    <row r="604" spans="1:12">
      <c r="A604" s="3">
        <v>10</v>
      </c>
      <c r="B604" s="3">
        <v>2</v>
      </c>
      <c r="C604" s="3">
        <v>39</v>
      </c>
      <c r="D604" s="3">
        <v>4</v>
      </c>
      <c r="E604" s="3">
        <f>((1/(INDEX(E0!J$4:J$52,C604,1)-INDEX(E0!J$4:J$52,D604,1))))*100000000</f>
        <v>0</v>
      </c>
      <c r="F604" s="4" t="str">
        <f>HYPERLINK("http://141.218.60.56/~jnz1568/getInfo.php?workbook=10_02.xlsx&amp;sheet=A0&amp;row=604&amp;col=6&amp;number=&amp;sourceID=27","")</f>
        <v/>
      </c>
      <c r="G604" s="4" t="str">
        <f>HYPERLINK("http://141.218.60.56/~jnz1568/getInfo.php?workbook=10_02.xlsx&amp;sheet=A0&amp;row=604&amp;col=7&amp;number=&amp;sourceID=32","")</f>
        <v/>
      </c>
      <c r="H604" s="4" t="str">
        <f>HYPERLINK("http://141.218.60.56/~jnz1568/getInfo.php?workbook=10_02.xlsx&amp;sheet=A0&amp;row=604&amp;col=8&amp;number=&amp;sourceID=32","")</f>
        <v/>
      </c>
      <c r="I604" s="4" t="str">
        <f>HYPERLINK("http://141.218.60.56/~jnz1568/getInfo.php?workbook=10_02.xlsx&amp;sheet=A0&amp;row=604&amp;col=9&amp;number=&amp;sourceID=32","")</f>
        <v/>
      </c>
      <c r="J604" s="4" t="str">
        <f>HYPERLINK("http://141.218.60.56/~jnz1568/getInfo.php?workbook=10_02.xlsx&amp;sheet=A0&amp;row=604&amp;col=10&amp;number=71.48&amp;sourceID=32","71.48")</f>
        <v>71.48</v>
      </c>
      <c r="K604" s="4" t="str">
        <f>HYPERLINK("http://141.218.60.56/~jnz1568/getInfo.php?workbook=10_02.xlsx&amp;sheet=A0&amp;row=604&amp;col=11&amp;number=83.14&amp;sourceID=46","83.14")</f>
        <v>83.14</v>
      </c>
      <c r="L604" s="4" t="str">
        <f>HYPERLINK("http://141.218.60.56/~jnz1568/getInfo.php?workbook=10_02.xlsx&amp;sheet=A0&amp;row=604&amp;col=12&amp;number=&amp;sourceID=47","")</f>
        <v/>
      </c>
    </row>
    <row r="605" spans="1:12">
      <c r="A605" s="3">
        <v>10</v>
      </c>
      <c r="B605" s="3">
        <v>2</v>
      </c>
      <c r="C605" s="3">
        <v>39</v>
      </c>
      <c r="D605" s="3">
        <v>5</v>
      </c>
      <c r="E605" s="3">
        <f>((1/(INDEX(E0!J$4:J$52,C605,1)-INDEX(E0!J$4:J$52,D605,1))))*100000000</f>
        <v>0</v>
      </c>
      <c r="F605" s="4" t="str">
        <f>HYPERLINK("http://141.218.60.56/~jnz1568/getInfo.php?workbook=10_02.xlsx&amp;sheet=A0&amp;row=605&amp;col=6&amp;number=&amp;sourceID=27","")</f>
        <v/>
      </c>
      <c r="G605" s="4" t="str">
        <f>HYPERLINK("http://141.218.60.56/~jnz1568/getInfo.php?workbook=10_02.xlsx&amp;sheet=A0&amp;row=605&amp;col=7&amp;number=66150000000&amp;sourceID=32","66150000000")</f>
        <v>66150000000</v>
      </c>
      <c r="H605" s="4" t="str">
        <f>HYPERLINK("http://141.218.60.56/~jnz1568/getInfo.php?workbook=10_02.xlsx&amp;sheet=A0&amp;row=605&amp;col=8&amp;number=&amp;sourceID=32","")</f>
        <v/>
      </c>
      <c r="I605" s="4" t="str">
        <f>HYPERLINK("http://141.218.60.56/~jnz1568/getInfo.php?workbook=10_02.xlsx&amp;sheet=A0&amp;row=605&amp;col=9&amp;number=&amp;sourceID=32","")</f>
        <v/>
      </c>
      <c r="J605" s="4" t="str">
        <f>HYPERLINK("http://141.218.60.56/~jnz1568/getInfo.php?workbook=10_02.xlsx&amp;sheet=A0&amp;row=605&amp;col=10&amp;number=2959&amp;sourceID=32","2959")</f>
        <v>2959</v>
      </c>
      <c r="K605" s="4" t="str">
        <f>HYPERLINK("http://141.218.60.56/~jnz1568/getInfo.php?workbook=10_02.xlsx&amp;sheet=A0&amp;row=605&amp;col=11&amp;number=65792000000&amp;sourceID=46","65792000000")</f>
        <v>65792000000</v>
      </c>
      <c r="L605" s="4" t="str">
        <f>HYPERLINK("http://141.218.60.56/~jnz1568/getInfo.php?workbook=10_02.xlsx&amp;sheet=A0&amp;row=605&amp;col=12&amp;number=&amp;sourceID=47","")</f>
        <v/>
      </c>
    </row>
    <row r="606" spans="1:12">
      <c r="A606" s="3">
        <v>10</v>
      </c>
      <c r="B606" s="3">
        <v>2</v>
      </c>
      <c r="C606" s="3">
        <v>39</v>
      </c>
      <c r="D606" s="3">
        <v>7</v>
      </c>
      <c r="E606" s="3">
        <f>((1/(INDEX(E0!J$4:J$52,C606,1)-INDEX(E0!J$4:J$52,D606,1))))*100000000</f>
        <v>0</v>
      </c>
      <c r="F606" s="4" t="str">
        <f>HYPERLINK("http://141.218.60.56/~jnz1568/getInfo.php?workbook=10_02.xlsx&amp;sheet=A0&amp;row=606&amp;col=6&amp;number=&amp;sourceID=27","")</f>
        <v/>
      </c>
      <c r="G606" s="4" t="str">
        <f>HYPERLINK("http://141.218.60.56/~jnz1568/getInfo.php?workbook=10_02.xlsx&amp;sheet=A0&amp;row=606&amp;col=7&amp;number=&amp;sourceID=32","")</f>
        <v/>
      </c>
      <c r="H606" s="4" t="str">
        <f>HYPERLINK("http://141.218.60.56/~jnz1568/getInfo.php?workbook=10_02.xlsx&amp;sheet=A0&amp;row=606&amp;col=8&amp;number=&amp;sourceID=32","")</f>
        <v/>
      </c>
      <c r="I606" s="4" t="str">
        <f>HYPERLINK("http://141.218.60.56/~jnz1568/getInfo.php?workbook=10_02.xlsx&amp;sheet=A0&amp;row=606&amp;col=9&amp;number=&amp;sourceID=32","")</f>
        <v/>
      </c>
      <c r="J606" s="4" t="str">
        <f>HYPERLINK("http://141.218.60.56/~jnz1568/getInfo.php?workbook=10_02.xlsx&amp;sheet=A0&amp;row=606&amp;col=10&amp;number=902.2&amp;sourceID=32","902.2")</f>
        <v>902.2</v>
      </c>
      <c r="K606" s="4" t="str">
        <f>HYPERLINK("http://141.218.60.56/~jnz1568/getInfo.php?workbook=10_02.xlsx&amp;sheet=A0&amp;row=606&amp;col=11&amp;number=911.96&amp;sourceID=46","911.96")</f>
        <v>911.96</v>
      </c>
      <c r="L606" s="4" t="str">
        <f>HYPERLINK("http://141.218.60.56/~jnz1568/getInfo.php?workbook=10_02.xlsx&amp;sheet=A0&amp;row=606&amp;col=12&amp;number=&amp;sourceID=47","")</f>
        <v/>
      </c>
    </row>
    <row r="607" spans="1:12">
      <c r="A607" s="3">
        <v>10</v>
      </c>
      <c r="B607" s="3">
        <v>2</v>
      </c>
      <c r="C607" s="3">
        <v>39</v>
      </c>
      <c r="D607" s="3">
        <v>8</v>
      </c>
      <c r="E607" s="3">
        <f>((1/(INDEX(E0!J$4:J$52,C607,1)-INDEX(E0!J$4:J$52,D607,1))))*100000000</f>
        <v>0</v>
      </c>
      <c r="F607" s="4" t="str">
        <f>HYPERLINK("http://141.218.60.56/~jnz1568/getInfo.php?workbook=10_02.xlsx&amp;sheet=A0&amp;row=607&amp;col=6&amp;number=&amp;sourceID=27","")</f>
        <v/>
      </c>
      <c r="G607" s="4" t="str">
        <f>HYPERLINK("http://141.218.60.56/~jnz1568/getInfo.php?workbook=10_02.xlsx&amp;sheet=A0&amp;row=607&amp;col=7&amp;number=&amp;sourceID=32","")</f>
        <v/>
      </c>
      <c r="H607" s="4" t="str">
        <f>HYPERLINK("http://141.218.60.56/~jnz1568/getInfo.php?workbook=10_02.xlsx&amp;sheet=A0&amp;row=607&amp;col=8&amp;number=816800&amp;sourceID=32","816800")</f>
        <v>816800</v>
      </c>
      <c r="I607" s="4" t="str">
        <f>HYPERLINK("http://141.218.60.56/~jnz1568/getInfo.php?workbook=10_02.xlsx&amp;sheet=A0&amp;row=607&amp;col=9&amp;number=&amp;sourceID=32","")</f>
        <v/>
      </c>
      <c r="J607" s="4" t="str">
        <f>HYPERLINK("http://141.218.60.56/~jnz1568/getInfo.php?workbook=10_02.xlsx&amp;sheet=A0&amp;row=607&amp;col=10&amp;number=&amp;sourceID=32","")</f>
        <v/>
      </c>
      <c r="K607" s="4" t="str">
        <f>HYPERLINK("http://141.218.60.56/~jnz1568/getInfo.php?workbook=10_02.xlsx&amp;sheet=A0&amp;row=607&amp;col=11&amp;number=802450&amp;sourceID=46","802450")</f>
        <v>802450</v>
      </c>
      <c r="L607" s="4" t="str">
        <f>HYPERLINK("http://141.218.60.56/~jnz1568/getInfo.php?workbook=10_02.xlsx&amp;sheet=A0&amp;row=607&amp;col=12&amp;number=&amp;sourceID=47","")</f>
        <v/>
      </c>
    </row>
    <row r="608" spans="1:12">
      <c r="A608" s="3">
        <v>10</v>
      </c>
      <c r="B608" s="3">
        <v>2</v>
      </c>
      <c r="C608" s="3">
        <v>39</v>
      </c>
      <c r="D608" s="3">
        <v>9</v>
      </c>
      <c r="E608" s="3">
        <f>((1/(INDEX(E0!J$4:J$52,C608,1)-INDEX(E0!J$4:J$52,D608,1))))*100000000</f>
        <v>0</v>
      </c>
      <c r="F608" s="4" t="str">
        <f>HYPERLINK("http://141.218.60.56/~jnz1568/getInfo.php?workbook=10_02.xlsx&amp;sheet=A0&amp;row=608&amp;col=6&amp;number=&amp;sourceID=27","")</f>
        <v/>
      </c>
      <c r="G608" s="4" t="str">
        <f>HYPERLINK("http://141.218.60.56/~jnz1568/getInfo.php?workbook=10_02.xlsx&amp;sheet=A0&amp;row=608&amp;col=7&amp;number=&amp;sourceID=32","")</f>
        <v/>
      </c>
      <c r="H608" s="4" t="str">
        <f>HYPERLINK("http://141.218.60.56/~jnz1568/getInfo.php?workbook=10_02.xlsx&amp;sheet=A0&amp;row=608&amp;col=8&amp;number=&amp;sourceID=32","")</f>
        <v/>
      </c>
      <c r="I608" s="4" t="str">
        <f>HYPERLINK("http://141.218.60.56/~jnz1568/getInfo.php?workbook=10_02.xlsx&amp;sheet=A0&amp;row=608&amp;col=9&amp;number=&amp;sourceID=32","")</f>
        <v/>
      </c>
      <c r="J608" s="4" t="str">
        <f>HYPERLINK("http://141.218.60.56/~jnz1568/getInfo.php?workbook=10_02.xlsx&amp;sheet=A0&amp;row=608&amp;col=10&amp;number=&amp;sourceID=32","")</f>
        <v/>
      </c>
      <c r="K608" s="4" t="str">
        <f>HYPERLINK("http://141.218.60.56/~jnz1568/getInfo.php?workbook=10_02.xlsx&amp;sheet=A0&amp;row=608&amp;col=11&amp;number=1.1802&amp;sourceID=46","1.1802")</f>
        <v>1.1802</v>
      </c>
      <c r="L608" s="4" t="str">
        <f>HYPERLINK("http://141.218.60.56/~jnz1568/getInfo.php?workbook=10_02.xlsx&amp;sheet=A0&amp;row=608&amp;col=12&amp;number=&amp;sourceID=47","")</f>
        <v/>
      </c>
    </row>
    <row r="609" spans="1:12">
      <c r="A609" s="3">
        <v>10</v>
      </c>
      <c r="B609" s="3">
        <v>2</v>
      </c>
      <c r="C609" s="3">
        <v>39</v>
      </c>
      <c r="D609" s="3">
        <v>10</v>
      </c>
      <c r="E609" s="3">
        <f>((1/(INDEX(E0!J$4:J$52,C609,1)-INDEX(E0!J$4:J$52,D609,1))))*100000000</f>
        <v>0</v>
      </c>
      <c r="F609" s="4" t="str">
        <f>HYPERLINK("http://141.218.60.56/~jnz1568/getInfo.php?workbook=10_02.xlsx&amp;sheet=A0&amp;row=609&amp;col=6&amp;number=&amp;sourceID=27","")</f>
        <v/>
      </c>
      <c r="G609" s="4" t="str">
        <f>HYPERLINK("http://141.218.60.56/~jnz1568/getInfo.php?workbook=10_02.xlsx&amp;sheet=A0&amp;row=609&amp;col=7&amp;number=&amp;sourceID=32","")</f>
        <v/>
      </c>
      <c r="H609" s="4" t="str">
        <f>HYPERLINK("http://141.218.60.56/~jnz1568/getInfo.php?workbook=10_02.xlsx&amp;sheet=A0&amp;row=609&amp;col=8&amp;number=&amp;sourceID=32","")</f>
        <v/>
      </c>
      <c r="I609" s="4" t="str">
        <f>HYPERLINK("http://141.218.60.56/~jnz1568/getInfo.php?workbook=10_02.xlsx&amp;sheet=A0&amp;row=609&amp;col=9&amp;number=&amp;sourceID=32","")</f>
        <v/>
      </c>
      <c r="J609" s="4" t="str">
        <f>HYPERLINK("http://141.218.60.56/~jnz1568/getInfo.php?workbook=10_02.xlsx&amp;sheet=A0&amp;row=609&amp;col=10&amp;number=2.823&amp;sourceID=32","2.823")</f>
        <v>2.823</v>
      </c>
      <c r="K609" s="4" t="str">
        <f>HYPERLINK("http://141.218.60.56/~jnz1568/getInfo.php?workbook=10_02.xlsx&amp;sheet=A0&amp;row=609&amp;col=11&amp;number=5.1284&amp;sourceID=46","5.1284")</f>
        <v>5.1284</v>
      </c>
      <c r="L609" s="4" t="str">
        <f>HYPERLINK("http://141.218.60.56/~jnz1568/getInfo.php?workbook=10_02.xlsx&amp;sheet=A0&amp;row=609&amp;col=12&amp;number=&amp;sourceID=47","")</f>
        <v/>
      </c>
    </row>
    <row r="610" spans="1:12">
      <c r="A610" s="3">
        <v>10</v>
      </c>
      <c r="B610" s="3">
        <v>2</v>
      </c>
      <c r="C610" s="3">
        <v>39</v>
      </c>
      <c r="D610" s="3">
        <v>12</v>
      </c>
      <c r="E610" s="3">
        <f>((1/(INDEX(E0!J$4:J$52,C610,1)-INDEX(E0!J$4:J$52,D610,1))))*100000000</f>
        <v>0</v>
      </c>
      <c r="F610" s="4" t="str">
        <f>HYPERLINK("http://141.218.60.56/~jnz1568/getInfo.php?workbook=10_02.xlsx&amp;sheet=A0&amp;row=610&amp;col=6&amp;number=&amp;sourceID=27","")</f>
        <v/>
      </c>
      <c r="G610" s="4" t="str">
        <f>HYPERLINK("http://141.218.60.56/~jnz1568/getInfo.php?workbook=10_02.xlsx&amp;sheet=A0&amp;row=610&amp;col=7&amp;number=22570000000&amp;sourceID=32","22570000000")</f>
        <v>22570000000</v>
      </c>
      <c r="H610" s="4" t="str">
        <f>HYPERLINK("http://141.218.60.56/~jnz1568/getInfo.php?workbook=10_02.xlsx&amp;sheet=A0&amp;row=610&amp;col=8&amp;number=&amp;sourceID=32","")</f>
        <v/>
      </c>
      <c r="I610" s="4" t="str">
        <f>HYPERLINK("http://141.218.60.56/~jnz1568/getInfo.php?workbook=10_02.xlsx&amp;sheet=A0&amp;row=610&amp;col=9&amp;number=&amp;sourceID=32","")</f>
        <v/>
      </c>
      <c r="J610" s="4" t="str">
        <f>HYPERLINK("http://141.218.60.56/~jnz1568/getInfo.php?workbook=10_02.xlsx&amp;sheet=A0&amp;row=610&amp;col=10&amp;number=114.9&amp;sourceID=32","114.9")</f>
        <v>114.9</v>
      </c>
      <c r="K610" s="4" t="str">
        <f>HYPERLINK("http://141.218.60.56/~jnz1568/getInfo.php?workbook=10_02.xlsx&amp;sheet=A0&amp;row=610&amp;col=11&amp;number=22478000000&amp;sourceID=46","22478000000")</f>
        <v>22478000000</v>
      </c>
      <c r="L610" s="4" t="str">
        <f>HYPERLINK("http://141.218.60.56/~jnz1568/getInfo.php?workbook=10_02.xlsx&amp;sheet=A0&amp;row=610&amp;col=12&amp;number=&amp;sourceID=47","")</f>
        <v/>
      </c>
    </row>
    <row r="611" spans="1:12">
      <c r="A611" s="3">
        <v>10</v>
      </c>
      <c r="B611" s="3">
        <v>2</v>
      </c>
      <c r="C611" s="3">
        <v>39</v>
      </c>
      <c r="D611" s="3">
        <v>13</v>
      </c>
      <c r="E611" s="3">
        <f>((1/(INDEX(E0!J$4:J$52,C611,1)-INDEX(E0!J$4:J$52,D611,1))))*100000000</f>
        <v>0</v>
      </c>
      <c r="F611" s="4" t="str">
        <f>HYPERLINK("http://141.218.60.56/~jnz1568/getInfo.php?workbook=10_02.xlsx&amp;sheet=A0&amp;row=611&amp;col=6&amp;number=&amp;sourceID=27","")</f>
        <v/>
      </c>
      <c r="G611" s="4" t="str">
        <f>HYPERLINK("http://141.218.60.56/~jnz1568/getInfo.php?workbook=10_02.xlsx&amp;sheet=A0&amp;row=611&amp;col=7&amp;number=&amp;sourceID=32","")</f>
        <v/>
      </c>
      <c r="H611" s="4" t="str">
        <f>HYPERLINK("http://141.218.60.56/~jnz1568/getInfo.php?workbook=10_02.xlsx&amp;sheet=A0&amp;row=611&amp;col=8&amp;number=8676&amp;sourceID=32","8676")</f>
        <v>8676</v>
      </c>
      <c r="I611" s="4" t="str">
        <f>HYPERLINK("http://141.218.60.56/~jnz1568/getInfo.php?workbook=10_02.xlsx&amp;sheet=A0&amp;row=611&amp;col=9&amp;number=&amp;sourceID=32","")</f>
        <v/>
      </c>
      <c r="J611" s="4" t="str">
        <f>HYPERLINK("http://141.218.60.56/~jnz1568/getInfo.php?workbook=10_02.xlsx&amp;sheet=A0&amp;row=611&amp;col=10&amp;number=&amp;sourceID=32","")</f>
        <v/>
      </c>
      <c r="K611" s="4" t="str">
        <f>HYPERLINK("http://141.218.60.56/~jnz1568/getInfo.php?workbook=10_02.xlsx&amp;sheet=A0&amp;row=611&amp;col=11&amp;number=8537.7&amp;sourceID=46","8537.7")</f>
        <v>8537.7</v>
      </c>
      <c r="L611" s="4" t="str">
        <f>HYPERLINK("http://141.218.60.56/~jnz1568/getInfo.php?workbook=10_02.xlsx&amp;sheet=A0&amp;row=611&amp;col=12&amp;number=&amp;sourceID=47","")</f>
        <v/>
      </c>
    </row>
    <row r="612" spans="1:12">
      <c r="A612" s="3">
        <v>10</v>
      </c>
      <c r="B612" s="3">
        <v>2</v>
      </c>
      <c r="C612" s="3">
        <v>39</v>
      </c>
      <c r="D612" s="3">
        <v>14</v>
      </c>
      <c r="E612" s="3">
        <f>((1/(INDEX(E0!J$4:J$52,C612,1)-INDEX(E0!J$4:J$52,D612,1))))*100000000</f>
        <v>0</v>
      </c>
      <c r="F612" s="4" t="str">
        <f>HYPERLINK("http://141.218.60.56/~jnz1568/getInfo.php?workbook=10_02.xlsx&amp;sheet=A0&amp;row=612&amp;col=6&amp;number=&amp;sourceID=27","")</f>
        <v/>
      </c>
      <c r="G612" s="4" t="str">
        <f>HYPERLINK("http://141.218.60.56/~jnz1568/getInfo.php?workbook=10_02.xlsx&amp;sheet=A0&amp;row=612&amp;col=7&amp;number=&amp;sourceID=32","")</f>
        <v/>
      </c>
      <c r="H612" s="4" t="str">
        <f>HYPERLINK("http://141.218.60.56/~jnz1568/getInfo.php?workbook=10_02.xlsx&amp;sheet=A0&amp;row=612&amp;col=8&amp;number=83420&amp;sourceID=32","83420")</f>
        <v>83420</v>
      </c>
      <c r="I612" s="4" t="str">
        <f>HYPERLINK("http://141.218.60.56/~jnz1568/getInfo.php?workbook=10_02.xlsx&amp;sheet=A0&amp;row=612&amp;col=9&amp;number=0.03472&amp;sourceID=32","0.03472")</f>
        <v>0.03472</v>
      </c>
      <c r="J612" s="4" t="str">
        <f>HYPERLINK("http://141.218.60.56/~jnz1568/getInfo.php?workbook=10_02.xlsx&amp;sheet=A0&amp;row=612&amp;col=10&amp;number=&amp;sourceID=32","")</f>
        <v/>
      </c>
      <c r="K612" s="4" t="str">
        <f>HYPERLINK("http://141.218.60.56/~jnz1568/getInfo.php?workbook=10_02.xlsx&amp;sheet=A0&amp;row=612&amp;col=11&amp;number=84847&amp;sourceID=46","84847")</f>
        <v>84847</v>
      </c>
      <c r="L612" s="4" t="str">
        <f>HYPERLINK("http://141.218.60.56/~jnz1568/getInfo.php?workbook=10_02.xlsx&amp;sheet=A0&amp;row=612&amp;col=12&amp;number=&amp;sourceID=47","")</f>
        <v/>
      </c>
    </row>
    <row r="613" spans="1:12">
      <c r="A613" s="3">
        <v>10</v>
      </c>
      <c r="B613" s="3">
        <v>2</v>
      </c>
      <c r="C613" s="3">
        <v>39</v>
      </c>
      <c r="D613" s="3">
        <v>15</v>
      </c>
      <c r="E613" s="3">
        <f>((1/(INDEX(E0!J$4:J$52,C613,1)-INDEX(E0!J$4:J$52,D613,1))))*100000000</f>
        <v>0</v>
      </c>
      <c r="F613" s="4" t="str">
        <f>HYPERLINK("http://141.218.60.56/~jnz1568/getInfo.php?workbook=10_02.xlsx&amp;sheet=A0&amp;row=613&amp;col=6&amp;number=&amp;sourceID=27","")</f>
        <v/>
      </c>
      <c r="G613" s="4" t="str">
        <f>HYPERLINK("http://141.218.60.56/~jnz1568/getInfo.php?workbook=10_02.xlsx&amp;sheet=A0&amp;row=613&amp;col=7&amp;number=&amp;sourceID=32","")</f>
        <v/>
      </c>
      <c r="H613" s="4" t="str">
        <f>HYPERLINK("http://141.218.60.56/~jnz1568/getInfo.php?workbook=10_02.xlsx&amp;sheet=A0&amp;row=613&amp;col=8&amp;number=208900&amp;sourceID=32","208900")</f>
        <v>208900</v>
      </c>
      <c r="I613" s="4" t="str">
        <f>HYPERLINK("http://141.218.60.56/~jnz1568/getInfo.php?workbook=10_02.xlsx&amp;sheet=A0&amp;row=613&amp;col=9&amp;number=0.2009&amp;sourceID=32","0.2009")</f>
        <v>0.2009</v>
      </c>
      <c r="J613" s="4" t="str">
        <f>HYPERLINK("http://141.218.60.56/~jnz1568/getInfo.php?workbook=10_02.xlsx&amp;sheet=A0&amp;row=613&amp;col=10&amp;number=&amp;sourceID=32","")</f>
        <v/>
      </c>
      <c r="K613" s="4" t="str">
        <f>HYPERLINK("http://141.218.60.56/~jnz1568/getInfo.php?workbook=10_02.xlsx&amp;sheet=A0&amp;row=613&amp;col=11&amp;number=208480&amp;sourceID=46","208480")</f>
        <v>208480</v>
      </c>
      <c r="L613" s="4" t="str">
        <f>HYPERLINK("http://141.218.60.56/~jnz1568/getInfo.php?workbook=10_02.xlsx&amp;sheet=A0&amp;row=613&amp;col=12&amp;number=&amp;sourceID=47","")</f>
        <v/>
      </c>
    </row>
    <row r="614" spans="1:12">
      <c r="A614" s="3">
        <v>10</v>
      </c>
      <c r="B614" s="3">
        <v>2</v>
      </c>
      <c r="C614" s="3">
        <v>39</v>
      </c>
      <c r="D614" s="3">
        <v>16</v>
      </c>
      <c r="E614" s="3">
        <f>((1/(INDEX(E0!J$4:J$52,C614,1)-INDEX(E0!J$4:J$52,D614,1))))*100000000</f>
        <v>0</v>
      </c>
      <c r="F614" s="4" t="str">
        <f>HYPERLINK("http://141.218.60.56/~jnz1568/getInfo.php?workbook=10_02.xlsx&amp;sheet=A0&amp;row=614&amp;col=6&amp;number=&amp;sourceID=27","")</f>
        <v/>
      </c>
      <c r="G614" s="4" t="str">
        <f>HYPERLINK("http://141.218.60.56/~jnz1568/getInfo.php?workbook=10_02.xlsx&amp;sheet=A0&amp;row=614&amp;col=7&amp;number=&amp;sourceID=32","")</f>
        <v/>
      </c>
      <c r="H614" s="4" t="str">
        <f>HYPERLINK("http://141.218.60.56/~jnz1568/getInfo.php?workbook=10_02.xlsx&amp;sheet=A0&amp;row=614&amp;col=8&amp;number=3703&amp;sourceID=32","3703")</f>
        <v>3703</v>
      </c>
      <c r="I614" s="4" t="str">
        <f>HYPERLINK("http://141.218.60.56/~jnz1568/getInfo.php?workbook=10_02.xlsx&amp;sheet=A0&amp;row=614&amp;col=9&amp;number=0.0007705&amp;sourceID=32","0.0007705")</f>
        <v>0.0007705</v>
      </c>
      <c r="J614" s="4" t="str">
        <f>HYPERLINK("http://141.218.60.56/~jnz1568/getInfo.php?workbook=10_02.xlsx&amp;sheet=A0&amp;row=614&amp;col=10&amp;number=&amp;sourceID=32","")</f>
        <v/>
      </c>
      <c r="K614" s="4" t="str">
        <f>HYPERLINK("http://141.218.60.56/~jnz1568/getInfo.php?workbook=10_02.xlsx&amp;sheet=A0&amp;row=614&amp;col=11&amp;number=2364.6&amp;sourceID=46","2364.6")</f>
        <v>2364.6</v>
      </c>
      <c r="L614" s="4" t="str">
        <f>HYPERLINK("http://141.218.60.56/~jnz1568/getInfo.php?workbook=10_02.xlsx&amp;sheet=A0&amp;row=614&amp;col=12&amp;number=&amp;sourceID=47","")</f>
        <v/>
      </c>
    </row>
    <row r="615" spans="1:12">
      <c r="A615" s="3">
        <v>10</v>
      </c>
      <c r="B615" s="3">
        <v>2</v>
      </c>
      <c r="C615" s="3">
        <v>39</v>
      </c>
      <c r="D615" s="3">
        <v>17</v>
      </c>
      <c r="E615" s="3">
        <f>((1/(INDEX(E0!J$4:J$52,C615,1)-INDEX(E0!J$4:J$52,D615,1))))*100000000</f>
        <v>0</v>
      </c>
      <c r="F615" s="4" t="str">
        <f>HYPERLINK("http://141.218.60.56/~jnz1568/getInfo.php?workbook=10_02.xlsx&amp;sheet=A0&amp;row=615&amp;col=6&amp;number=&amp;sourceID=27","")</f>
        <v/>
      </c>
      <c r="G615" s="4" t="str">
        <f>HYPERLINK("http://141.218.60.56/~jnz1568/getInfo.php?workbook=10_02.xlsx&amp;sheet=A0&amp;row=615&amp;col=7&amp;number=&amp;sourceID=32","")</f>
        <v/>
      </c>
      <c r="H615" s="4" t="str">
        <f>HYPERLINK("http://141.218.60.56/~jnz1568/getInfo.php?workbook=10_02.xlsx&amp;sheet=A0&amp;row=615&amp;col=8&amp;number=&amp;sourceID=32","")</f>
        <v/>
      </c>
      <c r="I615" s="4" t="str">
        <f>HYPERLINK("http://141.218.60.56/~jnz1568/getInfo.php?workbook=10_02.xlsx&amp;sheet=A0&amp;row=615&amp;col=9&amp;number=&amp;sourceID=32","")</f>
        <v/>
      </c>
      <c r="J615" s="4" t="str">
        <f>HYPERLINK("http://141.218.60.56/~jnz1568/getInfo.php?workbook=10_02.xlsx&amp;sheet=A0&amp;row=615&amp;col=10&amp;number=38.22&amp;sourceID=32","38.22")</f>
        <v>38.22</v>
      </c>
      <c r="K615" s="4" t="str">
        <f>HYPERLINK("http://141.218.60.56/~jnz1568/getInfo.php?workbook=10_02.xlsx&amp;sheet=A0&amp;row=615&amp;col=11&amp;number=38.431&amp;sourceID=46","38.431")</f>
        <v>38.431</v>
      </c>
      <c r="L615" s="4" t="str">
        <f>HYPERLINK("http://141.218.60.56/~jnz1568/getInfo.php?workbook=10_02.xlsx&amp;sheet=A0&amp;row=615&amp;col=12&amp;number=&amp;sourceID=47","")</f>
        <v/>
      </c>
    </row>
    <row r="616" spans="1:12">
      <c r="A616" s="3">
        <v>10</v>
      </c>
      <c r="B616" s="3">
        <v>2</v>
      </c>
      <c r="C616" s="3">
        <v>39</v>
      </c>
      <c r="D616" s="3">
        <v>18</v>
      </c>
      <c r="E616" s="3">
        <f>((1/(INDEX(E0!J$4:J$52,C616,1)-INDEX(E0!J$4:J$52,D616,1))))*100000000</f>
        <v>0</v>
      </c>
      <c r="F616" s="4" t="str">
        <f>HYPERLINK("http://141.218.60.56/~jnz1568/getInfo.php?workbook=10_02.xlsx&amp;sheet=A0&amp;row=616&amp;col=6&amp;number=&amp;sourceID=27","")</f>
        <v/>
      </c>
      <c r="G616" s="4" t="str">
        <f>HYPERLINK("http://141.218.60.56/~jnz1568/getInfo.php?workbook=10_02.xlsx&amp;sheet=A0&amp;row=616&amp;col=7&amp;number=&amp;sourceID=32","")</f>
        <v/>
      </c>
      <c r="H616" s="4" t="str">
        <f>HYPERLINK("http://141.218.60.56/~jnz1568/getInfo.php?workbook=10_02.xlsx&amp;sheet=A0&amp;row=616&amp;col=8&amp;number=322500&amp;sourceID=32","322500")</f>
        <v>322500</v>
      </c>
      <c r="I616" s="4" t="str">
        <f>HYPERLINK("http://141.218.60.56/~jnz1568/getInfo.php?workbook=10_02.xlsx&amp;sheet=A0&amp;row=616&amp;col=9&amp;number=&amp;sourceID=32","")</f>
        <v/>
      </c>
      <c r="J616" s="4" t="str">
        <f>HYPERLINK("http://141.218.60.56/~jnz1568/getInfo.php?workbook=10_02.xlsx&amp;sheet=A0&amp;row=616&amp;col=10&amp;number=&amp;sourceID=32","")</f>
        <v/>
      </c>
      <c r="K616" s="4" t="str">
        <f>HYPERLINK("http://141.218.60.56/~jnz1568/getInfo.php?workbook=10_02.xlsx&amp;sheet=A0&amp;row=616&amp;col=11&amp;number=321910&amp;sourceID=46","321910")</f>
        <v>321910</v>
      </c>
      <c r="L616" s="4" t="str">
        <f>HYPERLINK("http://141.218.60.56/~jnz1568/getInfo.php?workbook=10_02.xlsx&amp;sheet=A0&amp;row=616&amp;col=12&amp;number=&amp;sourceID=47","")</f>
        <v/>
      </c>
    </row>
    <row r="617" spans="1:12">
      <c r="A617" s="3">
        <v>10</v>
      </c>
      <c r="B617" s="3">
        <v>2</v>
      </c>
      <c r="C617" s="3">
        <v>39</v>
      </c>
      <c r="D617" s="3">
        <v>19</v>
      </c>
      <c r="E617" s="3">
        <f>((1/(INDEX(E0!J$4:J$52,C617,1)-INDEX(E0!J$4:J$52,D617,1))))*100000000</f>
        <v>0</v>
      </c>
      <c r="F617" s="4" t="str">
        <f>HYPERLINK("http://141.218.60.56/~jnz1568/getInfo.php?workbook=10_02.xlsx&amp;sheet=A0&amp;row=617&amp;col=6&amp;number=&amp;sourceID=27","")</f>
        <v/>
      </c>
      <c r="G617" s="4" t="str">
        <f>HYPERLINK("http://141.218.60.56/~jnz1568/getInfo.php?workbook=10_02.xlsx&amp;sheet=A0&amp;row=617&amp;col=7&amp;number=&amp;sourceID=32","")</f>
        <v/>
      </c>
      <c r="H617" s="4" t="str">
        <f>HYPERLINK("http://141.218.60.56/~jnz1568/getInfo.php?workbook=10_02.xlsx&amp;sheet=A0&amp;row=617&amp;col=8&amp;number=&amp;sourceID=32","")</f>
        <v/>
      </c>
      <c r="I617" s="4" t="str">
        <f>HYPERLINK("http://141.218.60.56/~jnz1568/getInfo.php?workbook=10_02.xlsx&amp;sheet=A0&amp;row=617&amp;col=9&amp;number=&amp;sourceID=32","")</f>
        <v/>
      </c>
      <c r="J617" s="4" t="str">
        <f>HYPERLINK("http://141.218.60.56/~jnz1568/getInfo.php?workbook=10_02.xlsx&amp;sheet=A0&amp;row=617&amp;col=10&amp;number=&amp;sourceID=32","")</f>
        <v/>
      </c>
      <c r="K617" s="4" t="str">
        <f>HYPERLINK("http://141.218.60.56/~jnz1568/getInfo.php?workbook=10_02.xlsx&amp;sheet=A0&amp;row=617&amp;col=11&amp;number=1.4807&amp;sourceID=46","1.4807")</f>
        <v>1.4807</v>
      </c>
      <c r="L617" s="4" t="str">
        <f>HYPERLINK("http://141.218.60.56/~jnz1568/getInfo.php?workbook=10_02.xlsx&amp;sheet=A0&amp;row=617&amp;col=12&amp;number=&amp;sourceID=47","")</f>
        <v/>
      </c>
    </row>
    <row r="618" spans="1:12">
      <c r="A618" s="3">
        <v>10</v>
      </c>
      <c r="B618" s="3">
        <v>2</v>
      </c>
      <c r="C618" s="3">
        <v>39</v>
      </c>
      <c r="D618" s="3">
        <v>20</v>
      </c>
      <c r="E618" s="3">
        <f>((1/(INDEX(E0!J$4:J$52,C618,1)-INDEX(E0!J$4:J$52,D618,1))))*100000000</f>
        <v>0</v>
      </c>
      <c r="F618" s="4" t="str">
        <f>HYPERLINK("http://141.218.60.56/~jnz1568/getInfo.php?workbook=10_02.xlsx&amp;sheet=A0&amp;row=618&amp;col=6&amp;number=&amp;sourceID=27","")</f>
        <v/>
      </c>
      <c r="G618" s="4" t="str">
        <f>HYPERLINK("http://141.218.60.56/~jnz1568/getInfo.php?workbook=10_02.xlsx&amp;sheet=A0&amp;row=618&amp;col=7&amp;number=&amp;sourceID=32","")</f>
        <v/>
      </c>
      <c r="H618" s="4" t="str">
        <f>HYPERLINK("http://141.218.60.56/~jnz1568/getInfo.php?workbook=10_02.xlsx&amp;sheet=A0&amp;row=618&amp;col=8&amp;number=&amp;sourceID=32","")</f>
        <v/>
      </c>
      <c r="I618" s="4" t="str">
        <f>HYPERLINK("http://141.218.60.56/~jnz1568/getInfo.php?workbook=10_02.xlsx&amp;sheet=A0&amp;row=618&amp;col=9&amp;number=&amp;sourceID=32","")</f>
        <v/>
      </c>
      <c r="J618" s="4" t="str">
        <f>HYPERLINK("http://141.218.60.56/~jnz1568/getInfo.php?workbook=10_02.xlsx&amp;sheet=A0&amp;row=618&amp;col=10&amp;number=0.1201&amp;sourceID=32","0.1201")</f>
        <v>0.1201</v>
      </c>
      <c r="K618" s="4" t="str">
        <f>HYPERLINK("http://141.218.60.56/~jnz1568/getInfo.php?workbook=10_02.xlsx&amp;sheet=A0&amp;row=618&amp;col=11&amp;number=3.0681&amp;sourceID=46","3.0681")</f>
        <v>3.0681</v>
      </c>
      <c r="L618" s="4" t="str">
        <f>HYPERLINK("http://141.218.60.56/~jnz1568/getInfo.php?workbook=10_02.xlsx&amp;sheet=A0&amp;row=618&amp;col=12&amp;number=&amp;sourceID=47","")</f>
        <v/>
      </c>
    </row>
    <row r="619" spans="1:12">
      <c r="A619" s="3">
        <v>10</v>
      </c>
      <c r="B619" s="3">
        <v>2</v>
      </c>
      <c r="C619" s="3">
        <v>39</v>
      </c>
      <c r="D619" s="3">
        <v>22</v>
      </c>
      <c r="E619" s="3">
        <f>((1/(INDEX(E0!J$4:J$52,C619,1)-INDEX(E0!J$4:J$52,D619,1))))*100000000</f>
        <v>0</v>
      </c>
      <c r="F619" s="4" t="str">
        <f>HYPERLINK("http://141.218.60.56/~jnz1568/getInfo.php?workbook=10_02.xlsx&amp;sheet=A0&amp;row=619&amp;col=6&amp;number=&amp;sourceID=27","")</f>
        <v/>
      </c>
      <c r="G619" s="4" t="str">
        <f>HYPERLINK("http://141.218.60.56/~jnz1568/getInfo.php?workbook=10_02.xlsx&amp;sheet=A0&amp;row=619&amp;col=7&amp;number=9452000000&amp;sourceID=32","9452000000")</f>
        <v>9452000000</v>
      </c>
      <c r="H619" s="4" t="str">
        <f>HYPERLINK("http://141.218.60.56/~jnz1568/getInfo.php?workbook=10_02.xlsx&amp;sheet=A0&amp;row=619&amp;col=8&amp;number=&amp;sourceID=32","")</f>
        <v/>
      </c>
      <c r="I619" s="4" t="str">
        <f>HYPERLINK("http://141.218.60.56/~jnz1568/getInfo.php?workbook=10_02.xlsx&amp;sheet=A0&amp;row=619&amp;col=9&amp;number=&amp;sourceID=32","")</f>
        <v/>
      </c>
      <c r="J619" s="4" t="str">
        <f>HYPERLINK("http://141.218.60.56/~jnz1568/getInfo.php?workbook=10_02.xlsx&amp;sheet=A0&amp;row=619&amp;col=10&amp;number=4.87&amp;sourceID=32","4.87")</f>
        <v>4.87</v>
      </c>
      <c r="K619" s="4" t="str">
        <f>HYPERLINK("http://141.218.60.56/~jnz1568/getInfo.php?workbook=10_02.xlsx&amp;sheet=A0&amp;row=619&amp;col=11&amp;number=9428000000&amp;sourceID=46","9428000000")</f>
        <v>9428000000</v>
      </c>
      <c r="L619" s="4" t="str">
        <f>HYPERLINK("http://141.218.60.56/~jnz1568/getInfo.php?workbook=10_02.xlsx&amp;sheet=A0&amp;row=619&amp;col=12&amp;number=&amp;sourceID=47","")</f>
        <v/>
      </c>
    </row>
    <row r="620" spans="1:12">
      <c r="A620" s="3">
        <v>10</v>
      </c>
      <c r="B620" s="3">
        <v>2</v>
      </c>
      <c r="C620" s="3">
        <v>39</v>
      </c>
      <c r="D620" s="3">
        <v>23</v>
      </c>
      <c r="E620" s="3">
        <f>((1/(INDEX(E0!J$4:J$52,C620,1)-INDEX(E0!J$4:J$52,D620,1))))*100000000</f>
        <v>0</v>
      </c>
      <c r="F620" s="4" t="str">
        <f>HYPERLINK("http://141.218.60.56/~jnz1568/getInfo.php?workbook=10_02.xlsx&amp;sheet=A0&amp;row=620&amp;col=6&amp;number=&amp;sourceID=27","")</f>
        <v/>
      </c>
      <c r="G620" s="4" t="str">
        <f>HYPERLINK("http://141.218.60.56/~jnz1568/getInfo.php?workbook=10_02.xlsx&amp;sheet=A0&amp;row=620&amp;col=7&amp;number=&amp;sourceID=32","")</f>
        <v/>
      </c>
      <c r="H620" s="4" t="str">
        <f>HYPERLINK("http://141.218.60.56/~jnz1568/getInfo.php?workbook=10_02.xlsx&amp;sheet=A0&amp;row=620&amp;col=8&amp;number=4025&amp;sourceID=32","4025")</f>
        <v>4025</v>
      </c>
      <c r="I620" s="4" t="str">
        <f>HYPERLINK("http://141.218.60.56/~jnz1568/getInfo.php?workbook=10_02.xlsx&amp;sheet=A0&amp;row=620&amp;col=9&amp;number=&amp;sourceID=32","")</f>
        <v/>
      </c>
      <c r="J620" s="4" t="str">
        <f>HYPERLINK("http://141.218.60.56/~jnz1568/getInfo.php?workbook=10_02.xlsx&amp;sheet=A0&amp;row=620&amp;col=10&amp;number=&amp;sourceID=32","")</f>
        <v/>
      </c>
      <c r="K620" s="4" t="str">
        <f>HYPERLINK("http://141.218.60.56/~jnz1568/getInfo.php?workbook=10_02.xlsx&amp;sheet=A0&amp;row=620&amp;col=11&amp;number=4051.4&amp;sourceID=46","4051.4")</f>
        <v>4051.4</v>
      </c>
      <c r="L620" s="4" t="str">
        <f>HYPERLINK("http://141.218.60.56/~jnz1568/getInfo.php?workbook=10_02.xlsx&amp;sheet=A0&amp;row=620&amp;col=12&amp;number=&amp;sourceID=47","")</f>
        <v/>
      </c>
    </row>
    <row r="621" spans="1:12">
      <c r="A621" s="3">
        <v>10</v>
      </c>
      <c r="B621" s="3">
        <v>2</v>
      </c>
      <c r="C621" s="3">
        <v>39</v>
      </c>
      <c r="D621" s="3">
        <v>24</v>
      </c>
      <c r="E621" s="3">
        <f>((1/(INDEX(E0!J$4:J$52,C621,1)-INDEX(E0!J$4:J$52,D621,1))))*100000000</f>
        <v>0</v>
      </c>
      <c r="F621" s="4" t="str">
        <f>HYPERLINK("http://141.218.60.56/~jnz1568/getInfo.php?workbook=10_02.xlsx&amp;sheet=A0&amp;row=621&amp;col=6&amp;number=&amp;sourceID=27","")</f>
        <v/>
      </c>
      <c r="G621" s="4" t="str">
        <f>HYPERLINK("http://141.218.60.56/~jnz1568/getInfo.php?workbook=10_02.xlsx&amp;sheet=A0&amp;row=621&amp;col=7&amp;number=&amp;sourceID=32","")</f>
        <v/>
      </c>
      <c r="H621" s="4" t="str">
        <f>HYPERLINK("http://141.218.60.56/~jnz1568/getInfo.php?workbook=10_02.xlsx&amp;sheet=A0&amp;row=621&amp;col=8&amp;number=39300&amp;sourceID=32","39300")</f>
        <v>39300</v>
      </c>
      <c r="I621" s="4" t="str">
        <f>HYPERLINK("http://141.218.60.56/~jnz1568/getInfo.php?workbook=10_02.xlsx&amp;sheet=A0&amp;row=621&amp;col=9&amp;number=0.006033&amp;sourceID=32","0.006033")</f>
        <v>0.006033</v>
      </c>
      <c r="J621" s="4" t="str">
        <f>HYPERLINK("http://141.218.60.56/~jnz1568/getInfo.php?workbook=10_02.xlsx&amp;sheet=A0&amp;row=621&amp;col=10&amp;number=&amp;sourceID=32","")</f>
        <v/>
      </c>
      <c r="K621" s="4" t="str">
        <f>HYPERLINK("http://141.218.60.56/~jnz1568/getInfo.php?workbook=10_02.xlsx&amp;sheet=A0&amp;row=621&amp;col=11&amp;number=39664&amp;sourceID=46","39664")</f>
        <v>39664</v>
      </c>
      <c r="L621" s="4" t="str">
        <f>HYPERLINK("http://141.218.60.56/~jnz1568/getInfo.php?workbook=10_02.xlsx&amp;sheet=A0&amp;row=621&amp;col=12&amp;number=&amp;sourceID=47","")</f>
        <v/>
      </c>
    </row>
    <row r="622" spans="1:12">
      <c r="A622" s="3">
        <v>10</v>
      </c>
      <c r="B622" s="3">
        <v>2</v>
      </c>
      <c r="C622" s="3">
        <v>39</v>
      </c>
      <c r="D622" s="3">
        <v>25</v>
      </c>
      <c r="E622" s="3">
        <f>((1/(INDEX(E0!J$4:J$52,C622,1)-INDEX(E0!J$4:J$52,D622,1))))*100000000</f>
        <v>0</v>
      </c>
      <c r="F622" s="4" t="str">
        <f>HYPERLINK("http://141.218.60.56/~jnz1568/getInfo.php?workbook=10_02.xlsx&amp;sheet=A0&amp;row=622&amp;col=6&amp;number=&amp;sourceID=27","")</f>
        <v/>
      </c>
      <c r="G622" s="4" t="str">
        <f>HYPERLINK("http://141.218.60.56/~jnz1568/getInfo.php?workbook=10_02.xlsx&amp;sheet=A0&amp;row=622&amp;col=7&amp;number=&amp;sourceID=32","")</f>
        <v/>
      </c>
      <c r="H622" s="4" t="str">
        <f>HYPERLINK("http://141.218.60.56/~jnz1568/getInfo.php?workbook=10_02.xlsx&amp;sheet=A0&amp;row=622&amp;col=8&amp;number=96980&amp;sourceID=32","96980")</f>
        <v>96980</v>
      </c>
      <c r="I622" s="4" t="str">
        <f>HYPERLINK("http://141.218.60.56/~jnz1568/getInfo.php?workbook=10_02.xlsx&amp;sheet=A0&amp;row=622&amp;col=9&amp;number=0.009304&amp;sourceID=32","0.009304")</f>
        <v>0.009304</v>
      </c>
      <c r="J622" s="4" t="str">
        <f>HYPERLINK("http://141.218.60.56/~jnz1568/getInfo.php?workbook=10_02.xlsx&amp;sheet=A0&amp;row=622&amp;col=10&amp;number=&amp;sourceID=32","")</f>
        <v/>
      </c>
      <c r="K622" s="4" t="str">
        <f>HYPERLINK("http://141.218.60.56/~jnz1568/getInfo.php?workbook=10_02.xlsx&amp;sheet=A0&amp;row=622&amp;col=11&amp;number=96987&amp;sourceID=46","96987")</f>
        <v>96987</v>
      </c>
      <c r="L622" s="4" t="str">
        <f>HYPERLINK("http://141.218.60.56/~jnz1568/getInfo.php?workbook=10_02.xlsx&amp;sheet=A0&amp;row=622&amp;col=12&amp;number=&amp;sourceID=47","")</f>
        <v/>
      </c>
    </row>
    <row r="623" spans="1:12">
      <c r="A623" s="3">
        <v>10</v>
      </c>
      <c r="B623" s="3">
        <v>2</v>
      </c>
      <c r="C623" s="3">
        <v>39</v>
      </c>
      <c r="D623" s="3">
        <v>26</v>
      </c>
      <c r="E623" s="3">
        <f>((1/(INDEX(E0!J$4:J$52,C623,1)-INDEX(E0!J$4:J$52,D623,1))))*100000000</f>
        <v>0</v>
      </c>
      <c r="F623" s="4" t="str">
        <f>HYPERLINK("http://141.218.60.56/~jnz1568/getInfo.php?workbook=10_02.xlsx&amp;sheet=A0&amp;row=623&amp;col=6&amp;number=&amp;sourceID=27","")</f>
        <v/>
      </c>
      <c r="G623" s="4" t="str">
        <f>HYPERLINK("http://141.218.60.56/~jnz1568/getInfo.php?workbook=10_02.xlsx&amp;sheet=A0&amp;row=623&amp;col=7&amp;number=15710000&amp;sourceID=32","15710000")</f>
        <v>15710000</v>
      </c>
      <c r="H623" s="4" t="str">
        <f>HYPERLINK("http://141.218.60.56/~jnz1568/getInfo.php?workbook=10_02.xlsx&amp;sheet=A0&amp;row=623&amp;col=8&amp;number=&amp;sourceID=32","")</f>
        <v/>
      </c>
      <c r="I623" s="4" t="str">
        <f>HYPERLINK("http://141.218.60.56/~jnz1568/getInfo.php?workbook=10_02.xlsx&amp;sheet=A0&amp;row=623&amp;col=9&amp;number=&amp;sourceID=32","")</f>
        <v/>
      </c>
      <c r="J623" s="4" t="str">
        <f>HYPERLINK("http://141.218.60.56/~jnz1568/getInfo.php?workbook=10_02.xlsx&amp;sheet=A0&amp;row=623&amp;col=10&amp;number=9.639e-06&amp;sourceID=32","9.639e-06")</f>
        <v>9.639e-06</v>
      </c>
      <c r="K623" s="4" t="str">
        <f>HYPERLINK("http://141.218.60.56/~jnz1568/getInfo.php?workbook=10_02.xlsx&amp;sheet=A0&amp;row=623&amp;col=11&amp;number=850300&amp;sourceID=46","850300")</f>
        <v>850300</v>
      </c>
      <c r="L623" s="4" t="str">
        <f>HYPERLINK("http://141.218.60.56/~jnz1568/getInfo.php?workbook=10_02.xlsx&amp;sheet=A0&amp;row=623&amp;col=12&amp;number=&amp;sourceID=47","")</f>
        <v/>
      </c>
    </row>
    <row r="624" spans="1:12">
      <c r="A624" s="3">
        <v>10</v>
      </c>
      <c r="B624" s="3">
        <v>2</v>
      </c>
      <c r="C624" s="3">
        <v>39</v>
      </c>
      <c r="D624" s="3">
        <v>27</v>
      </c>
      <c r="E624" s="3">
        <f>((1/(INDEX(E0!J$4:J$52,C624,1)-INDEX(E0!J$4:J$52,D624,1))))*100000000</f>
        <v>0</v>
      </c>
      <c r="F624" s="4" t="str">
        <f>HYPERLINK("http://141.218.60.56/~jnz1568/getInfo.php?workbook=10_02.xlsx&amp;sheet=A0&amp;row=624&amp;col=6&amp;number=&amp;sourceID=27","")</f>
        <v/>
      </c>
      <c r="G624" s="4" t="str">
        <f>HYPERLINK("http://141.218.60.56/~jnz1568/getInfo.php?workbook=10_02.xlsx&amp;sheet=A0&amp;row=624&amp;col=7&amp;number=756400&amp;sourceID=32","756400")</f>
        <v>756400</v>
      </c>
      <c r="H624" s="4" t="str">
        <f>HYPERLINK("http://141.218.60.56/~jnz1568/getInfo.php?workbook=10_02.xlsx&amp;sheet=A0&amp;row=624&amp;col=8&amp;number=&amp;sourceID=32","")</f>
        <v/>
      </c>
      <c r="I624" s="4" t="str">
        <f>HYPERLINK("http://141.218.60.56/~jnz1568/getInfo.php?workbook=10_02.xlsx&amp;sheet=A0&amp;row=624&amp;col=9&amp;number=&amp;sourceID=32","")</f>
        <v/>
      </c>
      <c r="J624" s="4" t="str">
        <f>HYPERLINK("http://141.218.60.56/~jnz1568/getInfo.php?workbook=10_02.xlsx&amp;sheet=A0&amp;row=624&amp;col=10&amp;number=6.891e-09&amp;sourceID=32","6.891e-09")</f>
        <v>6.891e-09</v>
      </c>
      <c r="K624" s="4" t="str">
        <f>HYPERLINK("http://141.218.60.56/~jnz1568/getInfo.php?workbook=10_02.xlsx&amp;sheet=A0&amp;row=624&amp;col=11&amp;number=15991000&amp;sourceID=46","15991000")</f>
        <v>15991000</v>
      </c>
      <c r="L624" s="4" t="str">
        <f>HYPERLINK("http://141.218.60.56/~jnz1568/getInfo.php?workbook=10_02.xlsx&amp;sheet=A0&amp;row=624&amp;col=12&amp;number=&amp;sourceID=47","")</f>
        <v/>
      </c>
    </row>
    <row r="625" spans="1:12">
      <c r="A625" s="3">
        <v>10</v>
      </c>
      <c r="B625" s="3">
        <v>2</v>
      </c>
      <c r="C625" s="3">
        <v>39</v>
      </c>
      <c r="D625" s="3">
        <v>28</v>
      </c>
      <c r="E625" s="3">
        <f>((1/(INDEX(E0!J$4:J$52,C625,1)-INDEX(E0!J$4:J$52,D625,1))))*100000000</f>
        <v>0</v>
      </c>
      <c r="F625" s="4" t="str">
        <f>HYPERLINK("http://141.218.60.56/~jnz1568/getInfo.php?workbook=10_02.xlsx&amp;sheet=A0&amp;row=625&amp;col=6&amp;number=&amp;sourceID=27","")</f>
        <v/>
      </c>
      <c r="G625" s="4" t="str">
        <f>HYPERLINK("http://141.218.60.56/~jnz1568/getInfo.php?workbook=10_02.xlsx&amp;sheet=A0&amp;row=625&amp;col=7&amp;number=&amp;sourceID=32","")</f>
        <v/>
      </c>
      <c r="H625" s="4" t="str">
        <f>HYPERLINK("http://141.218.60.56/~jnz1568/getInfo.php?workbook=10_02.xlsx&amp;sheet=A0&amp;row=625&amp;col=8&amp;number=&amp;sourceID=32","")</f>
        <v/>
      </c>
      <c r="I625" s="4" t="str">
        <f>HYPERLINK("http://141.218.60.56/~jnz1568/getInfo.php?workbook=10_02.xlsx&amp;sheet=A0&amp;row=625&amp;col=9&amp;number=&amp;sourceID=32","")</f>
        <v/>
      </c>
      <c r="J625" s="4" t="str">
        <f>HYPERLINK("http://141.218.60.56/~jnz1568/getInfo.php?workbook=10_02.xlsx&amp;sheet=A0&amp;row=625&amp;col=10&amp;number=&amp;sourceID=32","")</f>
        <v/>
      </c>
      <c r="K625" s="4" t="str">
        <f>HYPERLINK("http://141.218.60.56/~jnz1568/getInfo.php?workbook=10_02.xlsx&amp;sheet=A0&amp;row=625&amp;col=11&amp;number=309300000&amp;sourceID=46","309300000")</f>
        <v>309300000</v>
      </c>
      <c r="L625" s="4" t="str">
        <f>HYPERLINK("http://141.218.60.56/~jnz1568/getInfo.php?workbook=10_02.xlsx&amp;sheet=A0&amp;row=625&amp;col=12&amp;number=&amp;sourceID=47","")</f>
        <v/>
      </c>
    </row>
    <row r="626" spans="1:12">
      <c r="A626" s="3">
        <v>10</v>
      </c>
      <c r="B626" s="3">
        <v>2</v>
      </c>
      <c r="C626" s="3">
        <v>39</v>
      </c>
      <c r="D626" s="3">
        <v>29</v>
      </c>
      <c r="E626" s="3">
        <f>((1/(INDEX(E0!J$4:J$52,C626,1)-INDEX(E0!J$4:J$52,D626,1))))*100000000</f>
        <v>0</v>
      </c>
      <c r="F626" s="4" t="str">
        <f>HYPERLINK("http://141.218.60.56/~jnz1568/getInfo.php?workbook=10_02.xlsx&amp;sheet=A0&amp;row=626&amp;col=6&amp;number=&amp;sourceID=27","")</f>
        <v/>
      </c>
      <c r="G626" s="4" t="str">
        <f>HYPERLINK("http://141.218.60.56/~jnz1568/getInfo.php?workbook=10_02.xlsx&amp;sheet=A0&amp;row=626&amp;col=7&amp;number=&amp;sourceID=32","")</f>
        <v/>
      </c>
      <c r="H626" s="4" t="str">
        <f>HYPERLINK("http://141.218.60.56/~jnz1568/getInfo.php?workbook=10_02.xlsx&amp;sheet=A0&amp;row=626&amp;col=8&amp;number=1122&amp;sourceID=32","1122")</f>
        <v>1122</v>
      </c>
      <c r="I626" s="4" t="str">
        <f>HYPERLINK("http://141.218.60.56/~jnz1568/getInfo.php?workbook=10_02.xlsx&amp;sheet=A0&amp;row=626&amp;col=9&amp;number=0.001469&amp;sourceID=32","0.001469")</f>
        <v>0.001469</v>
      </c>
      <c r="J626" s="4" t="str">
        <f>HYPERLINK("http://141.218.60.56/~jnz1568/getInfo.php?workbook=10_02.xlsx&amp;sheet=A0&amp;row=626&amp;col=10&amp;number=&amp;sourceID=32","")</f>
        <v/>
      </c>
      <c r="K626" s="4" t="str">
        <f>HYPERLINK("http://141.218.60.56/~jnz1568/getInfo.php?workbook=10_02.xlsx&amp;sheet=A0&amp;row=626&amp;col=11&amp;number=706.28&amp;sourceID=46","706.28")</f>
        <v>706.28</v>
      </c>
      <c r="L626" s="4" t="str">
        <f>HYPERLINK("http://141.218.60.56/~jnz1568/getInfo.php?workbook=10_02.xlsx&amp;sheet=A0&amp;row=626&amp;col=12&amp;number=&amp;sourceID=47","")</f>
        <v/>
      </c>
    </row>
    <row r="627" spans="1:12">
      <c r="A627" s="3">
        <v>10</v>
      </c>
      <c r="B627" s="3">
        <v>2</v>
      </c>
      <c r="C627" s="3">
        <v>39</v>
      </c>
      <c r="D627" s="3">
        <v>30</v>
      </c>
      <c r="E627" s="3">
        <f>((1/(INDEX(E0!J$4:J$52,C627,1)-INDEX(E0!J$4:J$52,D627,1))))*100000000</f>
        <v>0</v>
      </c>
      <c r="F627" s="4" t="str">
        <f>HYPERLINK("http://141.218.60.56/~jnz1568/getInfo.php?workbook=10_02.xlsx&amp;sheet=A0&amp;row=627&amp;col=6&amp;number=&amp;sourceID=27","")</f>
        <v/>
      </c>
      <c r="G627" s="4" t="str">
        <f>HYPERLINK("http://141.218.60.56/~jnz1568/getInfo.php?workbook=10_02.xlsx&amp;sheet=A0&amp;row=627&amp;col=7&amp;number=10970000&amp;sourceID=32","10970000")</f>
        <v>10970000</v>
      </c>
      <c r="H627" s="4" t="str">
        <f>HYPERLINK("http://141.218.60.56/~jnz1568/getInfo.php?workbook=10_02.xlsx&amp;sheet=A0&amp;row=627&amp;col=8&amp;number=&amp;sourceID=32","")</f>
        <v/>
      </c>
      <c r="I627" s="4" t="str">
        <f>HYPERLINK("http://141.218.60.56/~jnz1568/getInfo.php?workbook=10_02.xlsx&amp;sheet=A0&amp;row=627&amp;col=9&amp;number=&amp;sourceID=32","")</f>
        <v/>
      </c>
      <c r="J627" s="4" t="str">
        <f>HYPERLINK("http://141.218.60.56/~jnz1568/getInfo.php?workbook=10_02.xlsx&amp;sheet=A0&amp;row=627&amp;col=10&amp;number=0.02968&amp;sourceID=32","0.02968")</f>
        <v>0.02968</v>
      </c>
      <c r="K627" s="4" t="str">
        <f>HYPERLINK("http://141.218.60.56/~jnz1568/getInfo.php?workbook=10_02.xlsx&amp;sheet=A0&amp;row=627&amp;col=11&amp;number=10547000&amp;sourceID=46","10547000")</f>
        <v>10547000</v>
      </c>
      <c r="L627" s="4" t="str">
        <f>HYPERLINK("http://141.218.60.56/~jnz1568/getInfo.php?workbook=10_02.xlsx&amp;sheet=A0&amp;row=627&amp;col=12&amp;number=&amp;sourceID=47","")</f>
        <v/>
      </c>
    </row>
    <row r="628" spans="1:12">
      <c r="A628" s="3">
        <v>10</v>
      </c>
      <c r="B628" s="3">
        <v>2</v>
      </c>
      <c r="C628" s="3">
        <v>39</v>
      </c>
      <c r="D628" s="3">
        <v>31</v>
      </c>
      <c r="E628" s="3">
        <f>((1/(INDEX(E0!J$4:J$52,C628,1)-INDEX(E0!J$4:J$52,D628,1))))*100000000</f>
        <v>0</v>
      </c>
      <c r="F628" s="4" t="str">
        <f>HYPERLINK("http://141.218.60.56/~jnz1568/getInfo.php?workbook=10_02.xlsx&amp;sheet=A0&amp;row=628&amp;col=6&amp;number=&amp;sourceID=27","")</f>
        <v/>
      </c>
      <c r="G628" s="4" t="str">
        <f>HYPERLINK("http://141.218.60.56/~jnz1568/getInfo.php?workbook=10_02.xlsx&amp;sheet=A0&amp;row=628&amp;col=7&amp;number=&amp;sourceID=32","")</f>
        <v/>
      </c>
      <c r="H628" s="4" t="str">
        <f>HYPERLINK("http://141.218.60.56/~jnz1568/getInfo.php?workbook=10_02.xlsx&amp;sheet=A0&amp;row=628&amp;col=8&amp;number=&amp;sourceID=32","")</f>
        <v/>
      </c>
      <c r="I628" s="4" t="str">
        <f>HYPERLINK("http://141.218.60.56/~jnz1568/getInfo.php?workbook=10_02.xlsx&amp;sheet=A0&amp;row=628&amp;col=9&amp;number=&amp;sourceID=32","")</f>
        <v/>
      </c>
      <c r="J628" s="4" t="str">
        <f>HYPERLINK("http://141.218.60.56/~jnz1568/getInfo.php?workbook=10_02.xlsx&amp;sheet=A0&amp;row=628&amp;col=10&amp;number=1.698&amp;sourceID=32","1.698")</f>
        <v>1.698</v>
      </c>
      <c r="K628" s="4" t="str">
        <f>HYPERLINK("http://141.218.60.56/~jnz1568/getInfo.php?workbook=10_02.xlsx&amp;sheet=A0&amp;row=628&amp;col=11&amp;number=1.7028&amp;sourceID=46","1.7028")</f>
        <v>1.7028</v>
      </c>
      <c r="L628" s="4" t="str">
        <f>HYPERLINK("http://141.218.60.56/~jnz1568/getInfo.php?workbook=10_02.xlsx&amp;sheet=A0&amp;row=628&amp;col=12&amp;number=&amp;sourceID=47","")</f>
        <v/>
      </c>
    </row>
    <row r="629" spans="1:12">
      <c r="A629" s="3">
        <v>10</v>
      </c>
      <c r="B629" s="3">
        <v>2</v>
      </c>
      <c r="C629" s="3">
        <v>39</v>
      </c>
      <c r="D629" s="3">
        <v>32</v>
      </c>
      <c r="E629" s="3">
        <f>((1/(INDEX(E0!J$4:J$52,C629,1)-INDEX(E0!J$4:J$52,D629,1))))*100000000</f>
        <v>0</v>
      </c>
      <c r="F629" s="4" t="str">
        <f>HYPERLINK("http://141.218.60.56/~jnz1568/getInfo.php?workbook=10_02.xlsx&amp;sheet=A0&amp;row=629&amp;col=6&amp;number=&amp;sourceID=27","")</f>
        <v/>
      </c>
      <c r="G629" s="4" t="str">
        <f>HYPERLINK("http://141.218.60.56/~jnz1568/getInfo.php?workbook=10_02.xlsx&amp;sheet=A0&amp;row=629&amp;col=7&amp;number=&amp;sourceID=32","")</f>
        <v/>
      </c>
      <c r="H629" s="4" t="str">
        <f>HYPERLINK("http://141.218.60.56/~jnz1568/getInfo.php?workbook=10_02.xlsx&amp;sheet=A0&amp;row=629&amp;col=8&amp;number=0.1117&amp;sourceID=32","0.1117")</f>
        <v>0.1117</v>
      </c>
      <c r="I629" s="4" t="str">
        <f>HYPERLINK("http://141.218.60.56/~jnz1568/getInfo.php?workbook=10_02.xlsx&amp;sheet=A0&amp;row=629&amp;col=9&amp;number=&amp;sourceID=32","")</f>
        <v/>
      </c>
      <c r="J629" s="4" t="str">
        <f>HYPERLINK("http://141.218.60.56/~jnz1568/getInfo.php?workbook=10_02.xlsx&amp;sheet=A0&amp;row=629&amp;col=10&amp;number=&amp;sourceID=32","")</f>
        <v/>
      </c>
      <c r="K629" s="4" t="str">
        <f>HYPERLINK("http://141.218.60.56/~jnz1568/getInfo.php?workbook=10_02.xlsx&amp;sheet=A0&amp;row=629&amp;col=11&amp;number=&amp;sourceID=46","")</f>
        <v/>
      </c>
      <c r="L629" s="4" t="str">
        <f>HYPERLINK("http://141.218.60.56/~jnz1568/getInfo.php?workbook=10_02.xlsx&amp;sheet=A0&amp;row=629&amp;col=12&amp;number=&amp;sourceID=47","")</f>
        <v/>
      </c>
    </row>
    <row r="630" spans="1:12">
      <c r="A630" s="3">
        <v>10</v>
      </c>
      <c r="B630" s="3">
        <v>2</v>
      </c>
      <c r="C630" s="3">
        <v>39</v>
      </c>
      <c r="D630" s="3">
        <v>35</v>
      </c>
      <c r="E630" s="3">
        <f>((1/(INDEX(E0!J$4:J$52,C630,1)-INDEX(E0!J$4:J$52,D630,1))))*100000000</f>
        <v>0</v>
      </c>
      <c r="F630" s="4" t="str">
        <f>HYPERLINK("http://141.218.60.56/~jnz1568/getInfo.php?workbook=10_02.xlsx&amp;sheet=A0&amp;row=630&amp;col=6&amp;number=&amp;sourceID=27","")</f>
        <v/>
      </c>
      <c r="G630" s="4" t="str">
        <f>HYPERLINK("http://141.218.60.56/~jnz1568/getInfo.php?workbook=10_02.xlsx&amp;sheet=A0&amp;row=630&amp;col=7&amp;number=&amp;sourceID=32","")</f>
        <v/>
      </c>
      <c r="H630" s="4" t="str">
        <f>HYPERLINK("http://141.218.60.56/~jnz1568/getInfo.php?workbook=10_02.xlsx&amp;sheet=A0&amp;row=630&amp;col=8&amp;number=&amp;sourceID=32","")</f>
        <v/>
      </c>
      <c r="I630" s="4" t="str">
        <f>HYPERLINK("http://141.218.60.56/~jnz1568/getInfo.php?workbook=10_02.xlsx&amp;sheet=A0&amp;row=630&amp;col=9&amp;number=&amp;sourceID=32","")</f>
        <v/>
      </c>
      <c r="J630" s="4" t="str">
        <f>HYPERLINK("http://141.218.60.56/~jnz1568/getInfo.php?workbook=10_02.xlsx&amp;sheet=A0&amp;row=630&amp;col=10&amp;number=3.784e-10&amp;sourceID=32","3.784e-10")</f>
        <v>3.784e-10</v>
      </c>
      <c r="K630" s="4" t="str">
        <f>HYPERLINK("http://141.218.60.56/~jnz1568/getInfo.php?workbook=10_02.xlsx&amp;sheet=A0&amp;row=630&amp;col=11&amp;number=&amp;sourceID=46","")</f>
        <v/>
      </c>
      <c r="L630" s="4" t="str">
        <f>HYPERLINK("http://141.218.60.56/~jnz1568/getInfo.php?workbook=10_02.xlsx&amp;sheet=A0&amp;row=630&amp;col=12&amp;number=&amp;sourceID=47","")</f>
        <v/>
      </c>
    </row>
    <row r="631" spans="1:12">
      <c r="A631" s="3">
        <v>10</v>
      </c>
      <c r="B631" s="3">
        <v>2</v>
      </c>
      <c r="C631" s="3">
        <v>39</v>
      </c>
      <c r="D631" s="3">
        <v>36</v>
      </c>
      <c r="E631" s="3">
        <f>((1/(INDEX(E0!J$4:J$52,C631,1)-INDEX(E0!J$4:J$52,D631,1))))*100000000</f>
        <v>0</v>
      </c>
      <c r="F631" s="4" t="str">
        <f>HYPERLINK("http://141.218.60.56/~jnz1568/getInfo.php?workbook=10_02.xlsx&amp;sheet=A0&amp;row=631&amp;col=6&amp;number=&amp;sourceID=27","")</f>
        <v/>
      </c>
      <c r="G631" s="4" t="str">
        <f>HYPERLINK("http://141.218.60.56/~jnz1568/getInfo.php?workbook=10_02.xlsx&amp;sheet=A0&amp;row=631&amp;col=7&amp;number=170700&amp;sourceID=32","170700")</f>
        <v>170700</v>
      </c>
      <c r="H631" s="4" t="str">
        <f>HYPERLINK("http://141.218.60.56/~jnz1568/getInfo.php?workbook=10_02.xlsx&amp;sheet=A0&amp;row=631&amp;col=8&amp;number=&amp;sourceID=32","")</f>
        <v/>
      </c>
      <c r="I631" s="4" t="str">
        <f>HYPERLINK("http://141.218.60.56/~jnz1568/getInfo.php?workbook=10_02.xlsx&amp;sheet=A0&amp;row=631&amp;col=9&amp;number=&amp;sourceID=32","")</f>
        <v/>
      </c>
      <c r="J631" s="4" t="str">
        <f>HYPERLINK("http://141.218.60.56/~jnz1568/getInfo.php?workbook=10_02.xlsx&amp;sheet=A0&amp;row=631&amp;col=10&amp;number=1.239e-08&amp;sourceID=32","1.239e-08")</f>
        <v>1.239e-08</v>
      </c>
      <c r="K631" s="4" t="str">
        <f>HYPERLINK("http://141.218.60.56/~jnz1568/getInfo.php?workbook=10_02.xlsx&amp;sheet=A0&amp;row=631&amp;col=11&amp;number=184840&amp;sourceID=46","184840")</f>
        <v>184840</v>
      </c>
      <c r="L631" s="4" t="str">
        <f>HYPERLINK("http://141.218.60.56/~jnz1568/getInfo.php?workbook=10_02.xlsx&amp;sheet=A0&amp;row=631&amp;col=12&amp;number=&amp;sourceID=47","")</f>
        <v/>
      </c>
    </row>
    <row r="632" spans="1:12">
      <c r="A632" s="3">
        <v>10</v>
      </c>
      <c r="B632" s="3">
        <v>2</v>
      </c>
      <c r="C632" s="3">
        <v>40</v>
      </c>
      <c r="D632" s="3">
        <v>1</v>
      </c>
      <c r="E632" s="3">
        <f>((1/(INDEX(E0!J$4:J$52,C632,1)-INDEX(E0!J$4:J$52,D632,1))))*100000000</f>
        <v>0</v>
      </c>
      <c r="F632" s="4" t="str">
        <f>HYPERLINK("http://141.218.60.56/~jnz1568/getInfo.php?workbook=10_02.xlsx&amp;sheet=A0&amp;row=632&amp;col=6&amp;number=&amp;sourceID=27","")</f>
        <v/>
      </c>
      <c r="G632" s="4" t="str">
        <f>HYPERLINK("http://141.218.60.56/~jnz1568/getInfo.php?workbook=10_02.xlsx&amp;sheet=A0&amp;row=632&amp;col=7&amp;number=&amp;sourceID=32","")</f>
        <v/>
      </c>
      <c r="H632" s="4" t="str">
        <f>HYPERLINK("http://141.218.60.56/~jnz1568/getInfo.php?workbook=10_02.xlsx&amp;sheet=A0&amp;row=632&amp;col=8&amp;number=&amp;sourceID=32","")</f>
        <v/>
      </c>
      <c r="I632" s="4" t="str">
        <f>HYPERLINK("http://141.218.60.56/~jnz1568/getInfo.php?workbook=10_02.xlsx&amp;sheet=A0&amp;row=632&amp;col=9&amp;number=&amp;sourceID=32","")</f>
        <v/>
      </c>
      <c r="J632" s="4" t="str">
        <f>HYPERLINK("http://141.218.60.56/~jnz1568/getInfo.php?workbook=10_02.xlsx&amp;sheet=A0&amp;row=632&amp;col=10&amp;number=&amp;sourceID=32","")</f>
        <v/>
      </c>
      <c r="K632" s="4" t="str">
        <f>HYPERLINK("http://141.218.60.56/~jnz1568/getInfo.php?workbook=10_02.xlsx&amp;sheet=A0&amp;row=632&amp;col=11&amp;number=8430.7&amp;sourceID=46","8430.7")</f>
        <v>8430.7</v>
      </c>
      <c r="L632" s="4" t="str">
        <f>HYPERLINK("http://141.218.60.56/~jnz1568/getInfo.php?workbook=10_02.xlsx&amp;sheet=A0&amp;row=632&amp;col=12&amp;number=&amp;sourceID=47","")</f>
        <v/>
      </c>
    </row>
    <row r="633" spans="1:12">
      <c r="A633" s="3">
        <v>10</v>
      </c>
      <c r="B633" s="3">
        <v>2</v>
      </c>
      <c r="C633" s="3">
        <v>40</v>
      </c>
      <c r="D633" s="3">
        <v>2</v>
      </c>
      <c r="E633" s="3">
        <f>((1/(INDEX(E0!J$4:J$52,C633,1)-INDEX(E0!J$4:J$52,D633,1))))*100000000</f>
        <v>0</v>
      </c>
      <c r="F633" s="4" t="str">
        <f>HYPERLINK("http://141.218.60.56/~jnz1568/getInfo.php?workbook=10_02.xlsx&amp;sheet=A0&amp;row=633&amp;col=6&amp;number=&amp;sourceID=27","")</f>
        <v/>
      </c>
      <c r="G633" s="4" t="str">
        <f>HYPERLINK("http://141.218.60.56/~jnz1568/getInfo.php?workbook=10_02.xlsx&amp;sheet=A0&amp;row=633&amp;col=7&amp;number=&amp;sourceID=32","")</f>
        <v/>
      </c>
      <c r="H633" s="4" t="str">
        <f>HYPERLINK("http://141.218.60.56/~jnz1568/getInfo.php?workbook=10_02.xlsx&amp;sheet=A0&amp;row=633&amp;col=8&amp;number=&amp;sourceID=32","")</f>
        <v/>
      </c>
      <c r="I633" s="4" t="str">
        <f>HYPERLINK("http://141.218.60.56/~jnz1568/getInfo.php?workbook=10_02.xlsx&amp;sheet=A0&amp;row=633&amp;col=9&amp;number=&amp;sourceID=32","")</f>
        <v/>
      </c>
      <c r="J633" s="4" t="str">
        <f>HYPERLINK("http://141.218.60.56/~jnz1568/getInfo.php?workbook=10_02.xlsx&amp;sheet=A0&amp;row=633&amp;col=10&amp;number=3.788e-05&amp;sourceID=32","3.788e-05")</f>
        <v>3.788e-05</v>
      </c>
      <c r="K633" s="4" t="str">
        <f>HYPERLINK("http://141.218.60.56/~jnz1568/getInfo.php?workbook=10_02.xlsx&amp;sheet=A0&amp;row=633&amp;col=11&amp;number=2438.6&amp;sourceID=46","2438.6")</f>
        <v>2438.6</v>
      </c>
      <c r="L633" s="4" t="str">
        <f>HYPERLINK("http://141.218.60.56/~jnz1568/getInfo.php?workbook=10_02.xlsx&amp;sheet=A0&amp;row=633&amp;col=12&amp;number=&amp;sourceID=47","")</f>
        <v/>
      </c>
    </row>
    <row r="634" spans="1:12">
      <c r="A634" s="3">
        <v>10</v>
      </c>
      <c r="B634" s="3">
        <v>2</v>
      </c>
      <c r="C634" s="3">
        <v>40</v>
      </c>
      <c r="D634" s="3">
        <v>4</v>
      </c>
      <c r="E634" s="3">
        <f>((1/(INDEX(E0!J$4:J$52,C634,1)-INDEX(E0!J$4:J$52,D634,1))))*100000000</f>
        <v>0</v>
      </c>
      <c r="F634" s="4" t="str">
        <f>HYPERLINK("http://141.218.60.56/~jnz1568/getInfo.php?workbook=10_02.xlsx&amp;sheet=A0&amp;row=634&amp;col=6&amp;number=&amp;sourceID=27","")</f>
        <v/>
      </c>
      <c r="G634" s="4" t="str">
        <f>HYPERLINK("http://141.218.60.56/~jnz1568/getInfo.php?workbook=10_02.xlsx&amp;sheet=A0&amp;row=634&amp;col=7&amp;number=&amp;sourceID=32","")</f>
        <v/>
      </c>
      <c r="H634" s="4" t="str">
        <f>HYPERLINK("http://141.218.60.56/~jnz1568/getInfo.php?workbook=10_02.xlsx&amp;sheet=A0&amp;row=634&amp;col=8&amp;number=9413000&amp;sourceID=32","9413000")</f>
        <v>9413000</v>
      </c>
      <c r="I634" s="4" t="str">
        <f>HYPERLINK("http://141.218.60.56/~jnz1568/getInfo.php?workbook=10_02.xlsx&amp;sheet=A0&amp;row=634&amp;col=9&amp;number=&amp;sourceID=32","")</f>
        <v/>
      </c>
      <c r="J634" s="4" t="str">
        <f>HYPERLINK("http://141.218.60.56/~jnz1568/getInfo.php?workbook=10_02.xlsx&amp;sheet=A0&amp;row=634&amp;col=10&amp;number=&amp;sourceID=32","")</f>
        <v/>
      </c>
      <c r="K634" s="4" t="str">
        <f>HYPERLINK("http://141.218.60.56/~jnz1568/getInfo.php?workbook=10_02.xlsx&amp;sheet=A0&amp;row=634&amp;col=11&amp;number=9752600&amp;sourceID=46","9752600")</f>
        <v>9752600</v>
      </c>
      <c r="L634" s="4" t="str">
        <f>HYPERLINK("http://141.218.60.56/~jnz1568/getInfo.php?workbook=10_02.xlsx&amp;sheet=A0&amp;row=634&amp;col=12&amp;number=&amp;sourceID=47","")</f>
        <v/>
      </c>
    </row>
    <row r="635" spans="1:12">
      <c r="A635" s="3">
        <v>10</v>
      </c>
      <c r="B635" s="3">
        <v>2</v>
      </c>
      <c r="C635" s="3">
        <v>40</v>
      </c>
      <c r="D635" s="3">
        <v>5</v>
      </c>
      <c r="E635" s="3">
        <f>((1/(INDEX(E0!J$4:J$52,C635,1)-INDEX(E0!J$4:J$52,D635,1))))*100000000</f>
        <v>0</v>
      </c>
      <c r="F635" s="4" t="str">
        <f>HYPERLINK("http://141.218.60.56/~jnz1568/getInfo.php?workbook=10_02.xlsx&amp;sheet=A0&amp;row=635&amp;col=6&amp;number=&amp;sourceID=27","")</f>
        <v/>
      </c>
      <c r="G635" s="4" t="str">
        <f>HYPERLINK("http://141.218.60.56/~jnz1568/getInfo.php?workbook=10_02.xlsx&amp;sheet=A0&amp;row=635&amp;col=7&amp;number=&amp;sourceID=32","")</f>
        <v/>
      </c>
      <c r="H635" s="4" t="str">
        <f>HYPERLINK("http://141.218.60.56/~jnz1568/getInfo.php?workbook=10_02.xlsx&amp;sheet=A0&amp;row=635&amp;col=8&amp;number=4493000&amp;sourceID=32","4493000")</f>
        <v>4493000</v>
      </c>
      <c r="I635" s="4" t="str">
        <f>HYPERLINK("http://141.218.60.56/~jnz1568/getInfo.php?workbook=10_02.xlsx&amp;sheet=A0&amp;row=635&amp;col=9&amp;number=0.1596&amp;sourceID=32","0.1596")</f>
        <v>0.1596</v>
      </c>
      <c r="J635" s="4" t="str">
        <f>HYPERLINK("http://141.218.60.56/~jnz1568/getInfo.php?workbook=10_02.xlsx&amp;sheet=A0&amp;row=635&amp;col=10&amp;number=&amp;sourceID=32","")</f>
        <v/>
      </c>
      <c r="K635" s="4" t="str">
        <f>HYPERLINK("http://141.218.60.56/~jnz1568/getInfo.php?workbook=10_02.xlsx&amp;sheet=A0&amp;row=635&amp;col=11&amp;number=4737200&amp;sourceID=46","4737200")</f>
        <v>4737200</v>
      </c>
      <c r="L635" s="4" t="str">
        <f>HYPERLINK("http://141.218.60.56/~jnz1568/getInfo.php?workbook=10_02.xlsx&amp;sheet=A0&amp;row=635&amp;col=12&amp;number=&amp;sourceID=47","")</f>
        <v/>
      </c>
    </row>
    <row r="636" spans="1:12">
      <c r="A636" s="3">
        <v>10</v>
      </c>
      <c r="B636" s="3">
        <v>2</v>
      </c>
      <c r="C636" s="3">
        <v>40</v>
      </c>
      <c r="D636" s="3">
        <v>6</v>
      </c>
      <c r="E636" s="3">
        <f>((1/(INDEX(E0!J$4:J$52,C636,1)-INDEX(E0!J$4:J$52,D636,1))))*100000000</f>
        <v>0</v>
      </c>
      <c r="F636" s="4" t="str">
        <f>HYPERLINK("http://141.218.60.56/~jnz1568/getInfo.php?workbook=10_02.xlsx&amp;sheet=A0&amp;row=636&amp;col=6&amp;number=&amp;sourceID=27","")</f>
        <v/>
      </c>
      <c r="G636" s="4" t="str">
        <f>HYPERLINK("http://141.218.60.56/~jnz1568/getInfo.php?workbook=10_02.xlsx&amp;sheet=A0&amp;row=636&amp;col=7&amp;number=&amp;sourceID=32","")</f>
        <v/>
      </c>
      <c r="H636" s="4" t="str">
        <f>HYPERLINK("http://141.218.60.56/~jnz1568/getInfo.php?workbook=10_02.xlsx&amp;sheet=A0&amp;row=636&amp;col=8&amp;number=&amp;sourceID=32","")</f>
        <v/>
      </c>
      <c r="I636" s="4" t="str">
        <f>HYPERLINK("http://141.218.60.56/~jnz1568/getInfo.php?workbook=10_02.xlsx&amp;sheet=A0&amp;row=636&amp;col=9&amp;number=&amp;sourceID=32","")</f>
        <v/>
      </c>
      <c r="J636" s="4" t="str">
        <f>HYPERLINK("http://141.218.60.56/~jnz1568/getInfo.php?workbook=10_02.xlsx&amp;sheet=A0&amp;row=636&amp;col=10&amp;number=&amp;sourceID=32","")</f>
        <v/>
      </c>
      <c r="K636" s="4" t="str">
        <f>HYPERLINK("http://141.218.60.56/~jnz1568/getInfo.php?workbook=10_02.xlsx&amp;sheet=A0&amp;row=636&amp;col=11&amp;number=1118.7&amp;sourceID=46","1118.7")</f>
        <v>1118.7</v>
      </c>
      <c r="L636" s="4" t="str">
        <f>HYPERLINK("http://141.218.60.56/~jnz1568/getInfo.php?workbook=10_02.xlsx&amp;sheet=A0&amp;row=636&amp;col=12&amp;number=&amp;sourceID=47","")</f>
        <v/>
      </c>
    </row>
    <row r="637" spans="1:12">
      <c r="A637" s="3">
        <v>10</v>
      </c>
      <c r="B637" s="3">
        <v>2</v>
      </c>
      <c r="C637" s="3">
        <v>40</v>
      </c>
      <c r="D637" s="3">
        <v>7</v>
      </c>
      <c r="E637" s="3">
        <f>((1/(INDEX(E0!J$4:J$52,C637,1)-INDEX(E0!J$4:J$52,D637,1))))*100000000</f>
        <v>0</v>
      </c>
      <c r="F637" s="4" t="str">
        <f>HYPERLINK("http://141.218.60.56/~jnz1568/getInfo.php?workbook=10_02.xlsx&amp;sheet=A0&amp;row=637&amp;col=6&amp;number=&amp;sourceID=27","")</f>
        <v/>
      </c>
      <c r="G637" s="4" t="str">
        <f>HYPERLINK("http://141.218.60.56/~jnz1568/getInfo.php?workbook=10_02.xlsx&amp;sheet=A0&amp;row=637&amp;col=7&amp;number=&amp;sourceID=32","")</f>
        <v/>
      </c>
      <c r="H637" s="4" t="str">
        <f>HYPERLINK("http://141.218.60.56/~jnz1568/getInfo.php?workbook=10_02.xlsx&amp;sheet=A0&amp;row=637&amp;col=8&amp;number=8169000&amp;sourceID=32","8169000")</f>
        <v>8169000</v>
      </c>
      <c r="I637" s="4" t="str">
        <f>HYPERLINK("http://141.218.60.56/~jnz1568/getInfo.php?workbook=10_02.xlsx&amp;sheet=A0&amp;row=637&amp;col=9&amp;number=&amp;sourceID=32","")</f>
        <v/>
      </c>
      <c r="J637" s="4" t="str">
        <f>HYPERLINK("http://141.218.60.56/~jnz1568/getInfo.php?workbook=10_02.xlsx&amp;sheet=A0&amp;row=637&amp;col=10&amp;number=&amp;sourceID=32","")</f>
        <v/>
      </c>
      <c r="K637" s="4" t="str">
        <f>HYPERLINK("http://141.218.60.56/~jnz1568/getInfo.php?workbook=10_02.xlsx&amp;sheet=A0&amp;row=637&amp;col=11&amp;number=7442700&amp;sourceID=46","7442700")</f>
        <v>7442700</v>
      </c>
      <c r="L637" s="4" t="str">
        <f>HYPERLINK("http://141.218.60.56/~jnz1568/getInfo.php?workbook=10_02.xlsx&amp;sheet=A0&amp;row=637&amp;col=12&amp;number=&amp;sourceID=47","")</f>
        <v/>
      </c>
    </row>
    <row r="638" spans="1:12">
      <c r="A638" s="3">
        <v>10</v>
      </c>
      <c r="B638" s="3">
        <v>2</v>
      </c>
      <c r="C638" s="3">
        <v>40</v>
      </c>
      <c r="D638" s="3">
        <v>8</v>
      </c>
      <c r="E638" s="3">
        <f>((1/(INDEX(E0!J$4:J$52,C638,1)-INDEX(E0!J$4:J$52,D638,1))))*100000000</f>
        <v>0</v>
      </c>
      <c r="F638" s="4" t="str">
        <f>HYPERLINK("http://141.218.60.56/~jnz1568/getInfo.php?workbook=10_02.xlsx&amp;sheet=A0&amp;row=638&amp;col=6&amp;number=&amp;sourceID=27","")</f>
        <v/>
      </c>
      <c r="G638" s="4" t="str">
        <f>HYPERLINK("http://141.218.60.56/~jnz1568/getInfo.php?workbook=10_02.xlsx&amp;sheet=A0&amp;row=638&amp;col=7&amp;number=&amp;sourceID=32","")</f>
        <v/>
      </c>
      <c r="H638" s="4" t="str">
        <f>HYPERLINK("http://141.218.60.56/~jnz1568/getInfo.php?workbook=10_02.xlsx&amp;sheet=A0&amp;row=638&amp;col=8&amp;number=&amp;sourceID=32","")</f>
        <v/>
      </c>
      <c r="I638" s="4" t="str">
        <f>HYPERLINK("http://141.218.60.56/~jnz1568/getInfo.php?workbook=10_02.xlsx&amp;sheet=A0&amp;row=638&amp;col=9&amp;number=&amp;sourceID=32","")</f>
        <v/>
      </c>
      <c r="J638" s="4" t="str">
        <f>HYPERLINK("http://141.218.60.56/~jnz1568/getInfo.php?workbook=10_02.xlsx&amp;sheet=A0&amp;row=638&amp;col=10&amp;number=4.346e-08&amp;sourceID=32","4.346e-08")</f>
        <v>4.346e-08</v>
      </c>
      <c r="K638" s="4" t="str">
        <f>HYPERLINK("http://141.218.60.56/~jnz1568/getInfo.php?workbook=10_02.xlsx&amp;sheet=A0&amp;row=638&amp;col=11&amp;number=22.03&amp;sourceID=46","22.03")</f>
        <v>22.03</v>
      </c>
      <c r="L638" s="4" t="str">
        <f>HYPERLINK("http://141.218.60.56/~jnz1568/getInfo.php?workbook=10_02.xlsx&amp;sheet=A0&amp;row=638&amp;col=12&amp;number=&amp;sourceID=47","")</f>
        <v/>
      </c>
    </row>
    <row r="639" spans="1:12">
      <c r="A639" s="3">
        <v>10</v>
      </c>
      <c r="B639" s="3">
        <v>2</v>
      </c>
      <c r="C639" s="3">
        <v>40</v>
      </c>
      <c r="D639" s="3">
        <v>10</v>
      </c>
      <c r="E639" s="3">
        <f>((1/(INDEX(E0!J$4:J$52,C639,1)-INDEX(E0!J$4:J$52,D639,1))))*100000000</f>
        <v>0</v>
      </c>
      <c r="F639" s="4" t="str">
        <f>HYPERLINK("http://141.218.60.56/~jnz1568/getInfo.php?workbook=10_02.xlsx&amp;sheet=A0&amp;row=639&amp;col=6&amp;number=&amp;sourceID=27","")</f>
        <v/>
      </c>
      <c r="G639" s="4" t="str">
        <f>HYPERLINK("http://141.218.60.56/~jnz1568/getInfo.php?workbook=10_02.xlsx&amp;sheet=A0&amp;row=639&amp;col=7&amp;number=&amp;sourceID=32","")</f>
        <v/>
      </c>
      <c r="H639" s="4" t="str">
        <f>HYPERLINK("http://141.218.60.56/~jnz1568/getInfo.php?workbook=10_02.xlsx&amp;sheet=A0&amp;row=639&amp;col=8&amp;number=16660&amp;sourceID=32","16660")</f>
        <v>16660</v>
      </c>
      <c r="I639" s="4" t="str">
        <f>HYPERLINK("http://141.218.60.56/~jnz1568/getInfo.php?workbook=10_02.xlsx&amp;sheet=A0&amp;row=639&amp;col=9&amp;number=&amp;sourceID=32","")</f>
        <v/>
      </c>
      <c r="J639" s="4" t="str">
        <f>HYPERLINK("http://141.218.60.56/~jnz1568/getInfo.php?workbook=10_02.xlsx&amp;sheet=A0&amp;row=639&amp;col=10&amp;number=&amp;sourceID=32","")</f>
        <v/>
      </c>
      <c r="K639" s="4" t="str">
        <f>HYPERLINK("http://141.218.60.56/~jnz1568/getInfo.php?workbook=10_02.xlsx&amp;sheet=A0&amp;row=639&amp;col=11&amp;number=17536&amp;sourceID=46","17536")</f>
        <v>17536</v>
      </c>
      <c r="L639" s="4" t="str">
        <f>HYPERLINK("http://141.218.60.56/~jnz1568/getInfo.php?workbook=10_02.xlsx&amp;sheet=A0&amp;row=639&amp;col=12&amp;number=&amp;sourceID=47","")</f>
        <v/>
      </c>
    </row>
    <row r="640" spans="1:12">
      <c r="A640" s="3">
        <v>10</v>
      </c>
      <c r="B640" s="3">
        <v>2</v>
      </c>
      <c r="C640" s="3">
        <v>40</v>
      </c>
      <c r="D640" s="3">
        <v>11</v>
      </c>
      <c r="E640" s="3">
        <f>((1/(INDEX(E0!J$4:J$52,C640,1)-INDEX(E0!J$4:J$52,D640,1))))*100000000</f>
        <v>0</v>
      </c>
      <c r="F640" s="4" t="str">
        <f>HYPERLINK("http://141.218.60.56/~jnz1568/getInfo.php?workbook=10_02.xlsx&amp;sheet=A0&amp;row=640&amp;col=6&amp;number=&amp;sourceID=27","")</f>
        <v/>
      </c>
      <c r="G640" s="4" t="str">
        <f>HYPERLINK("http://141.218.60.56/~jnz1568/getInfo.php?workbook=10_02.xlsx&amp;sheet=A0&amp;row=640&amp;col=7&amp;number=&amp;sourceID=32","")</f>
        <v/>
      </c>
      <c r="H640" s="4" t="str">
        <f>HYPERLINK("http://141.218.60.56/~jnz1568/getInfo.php?workbook=10_02.xlsx&amp;sheet=A0&amp;row=640&amp;col=8&amp;number=&amp;sourceID=32","")</f>
        <v/>
      </c>
      <c r="I640" s="4" t="str">
        <f>HYPERLINK("http://141.218.60.56/~jnz1568/getInfo.php?workbook=10_02.xlsx&amp;sheet=A0&amp;row=640&amp;col=9&amp;number=&amp;sourceID=32","")</f>
        <v/>
      </c>
      <c r="J640" s="4" t="str">
        <f>HYPERLINK("http://141.218.60.56/~jnz1568/getInfo.php?workbook=10_02.xlsx&amp;sheet=A0&amp;row=640&amp;col=10&amp;number=&amp;sourceID=32","")</f>
        <v/>
      </c>
      <c r="K640" s="4" t="str">
        <f>HYPERLINK("http://141.218.60.56/~jnz1568/getInfo.php?workbook=10_02.xlsx&amp;sheet=A0&amp;row=640&amp;col=11&amp;number=15.395&amp;sourceID=46","15.395")</f>
        <v>15.395</v>
      </c>
      <c r="L640" s="4" t="str">
        <f>HYPERLINK("http://141.218.60.56/~jnz1568/getInfo.php?workbook=10_02.xlsx&amp;sheet=A0&amp;row=640&amp;col=12&amp;number=&amp;sourceID=47","")</f>
        <v/>
      </c>
    </row>
    <row r="641" spans="1:12">
      <c r="A641" s="3">
        <v>10</v>
      </c>
      <c r="B641" s="3">
        <v>2</v>
      </c>
      <c r="C641" s="3">
        <v>40</v>
      </c>
      <c r="D641" s="3">
        <v>12</v>
      </c>
      <c r="E641" s="3">
        <f>((1/(INDEX(E0!J$4:J$52,C641,1)-INDEX(E0!J$4:J$52,D641,1))))*100000000</f>
        <v>0</v>
      </c>
      <c r="F641" s="4" t="str">
        <f>HYPERLINK("http://141.218.60.56/~jnz1568/getInfo.php?workbook=10_02.xlsx&amp;sheet=A0&amp;row=641&amp;col=6&amp;number=&amp;sourceID=27","")</f>
        <v/>
      </c>
      <c r="G641" s="4" t="str">
        <f>HYPERLINK("http://141.218.60.56/~jnz1568/getInfo.php?workbook=10_02.xlsx&amp;sheet=A0&amp;row=641&amp;col=7&amp;number=&amp;sourceID=32","")</f>
        <v/>
      </c>
      <c r="H641" s="4" t="str">
        <f>HYPERLINK("http://141.218.60.56/~jnz1568/getInfo.php?workbook=10_02.xlsx&amp;sheet=A0&amp;row=641&amp;col=8&amp;number=7704&amp;sourceID=32","7704")</f>
        <v>7704</v>
      </c>
      <c r="I641" s="4" t="str">
        <f>HYPERLINK("http://141.218.60.56/~jnz1568/getInfo.php?workbook=10_02.xlsx&amp;sheet=A0&amp;row=641&amp;col=9&amp;number=0.003691&amp;sourceID=32","0.003691")</f>
        <v>0.003691</v>
      </c>
      <c r="J641" s="4" t="str">
        <f>HYPERLINK("http://141.218.60.56/~jnz1568/getInfo.php?workbook=10_02.xlsx&amp;sheet=A0&amp;row=641&amp;col=10&amp;number=&amp;sourceID=32","")</f>
        <v/>
      </c>
      <c r="K641" s="4" t="str">
        <f>HYPERLINK("http://141.218.60.56/~jnz1568/getInfo.php?workbook=10_02.xlsx&amp;sheet=A0&amp;row=641&amp;col=11&amp;number=8023.5&amp;sourceID=46","8023.5")</f>
        <v>8023.5</v>
      </c>
      <c r="L641" s="4" t="str">
        <f>HYPERLINK("http://141.218.60.56/~jnz1568/getInfo.php?workbook=10_02.xlsx&amp;sheet=A0&amp;row=641&amp;col=12&amp;number=&amp;sourceID=47","")</f>
        <v/>
      </c>
    </row>
    <row r="642" spans="1:12">
      <c r="A642" s="3">
        <v>10</v>
      </c>
      <c r="B642" s="3">
        <v>2</v>
      </c>
      <c r="C642" s="3">
        <v>40</v>
      </c>
      <c r="D642" s="3">
        <v>13</v>
      </c>
      <c r="E642" s="3">
        <f>((1/(INDEX(E0!J$4:J$52,C642,1)-INDEX(E0!J$4:J$52,D642,1))))*100000000</f>
        <v>0</v>
      </c>
      <c r="F642" s="4" t="str">
        <f>HYPERLINK("http://141.218.60.56/~jnz1568/getInfo.php?workbook=10_02.xlsx&amp;sheet=A0&amp;row=642&amp;col=6&amp;number=&amp;sourceID=27","")</f>
        <v/>
      </c>
      <c r="G642" s="4" t="str">
        <f>HYPERLINK("http://141.218.60.56/~jnz1568/getInfo.php?workbook=10_02.xlsx&amp;sheet=A0&amp;row=642&amp;col=7&amp;number=&amp;sourceID=32","")</f>
        <v/>
      </c>
      <c r="H642" s="4" t="str">
        <f>HYPERLINK("http://141.218.60.56/~jnz1568/getInfo.php?workbook=10_02.xlsx&amp;sheet=A0&amp;row=642&amp;col=8&amp;number=&amp;sourceID=32","")</f>
        <v/>
      </c>
      <c r="I642" s="4" t="str">
        <f>HYPERLINK("http://141.218.60.56/~jnz1568/getInfo.php?workbook=10_02.xlsx&amp;sheet=A0&amp;row=642&amp;col=9&amp;number=&amp;sourceID=32","")</f>
        <v/>
      </c>
      <c r="J642" s="4" t="str">
        <f>HYPERLINK("http://141.218.60.56/~jnz1568/getInfo.php?workbook=10_02.xlsx&amp;sheet=A0&amp;row=642&amp;col=10&amp;number=3.408&amp;sourceID=32","3.408")</f>
        <v>3.408</v>
      </c>
      <c r="K642" s="4" t="str">
        <f>HYPERLINK("http://141.218.60.56/~jnz1568/getInfo.php?workbook=10_02.xlsx&amp;sheet=A0&amp;row=642&amp;col=11&amp;number=3.3783&amp;sourceID=46","3.3783")</f>
        <v>3.3783</v>
      </c>
      <c r="L642" s="4" t="str">
        <f>HYPERLINK("http://141.218.60.56/~jnz1568/getInfo.php?workbook=10_02.xlsx&amp;sheet=A0&amp;row=642&amp;col=12&amp;number=&amp;sourceID=47","")</f>
        <v/>
      </c>
    </row>
    <row r="643" spans="1:12">
      <c r="A643" s="3">
        <v>10</v>
      </c>
      <c r="B643" s="3">
        <v>2</v>
      </c>
      <c r="C643" s="3">
        <v>40</v>
      </c>
      <c r="D643" s="3">
        <v>14</v>
      </c>
      <c r="E643" s="3">
        <f>((1/(INDEX(E0!J$4:J$52,C643,1)-INDEX(E0!J$4:J$52,D643,1))))*100000000</f>
        <v>0</v>
      </c>
      <c r="F643" s="4" t="str">
        <f>HYPERLINK("http://141.218.60.56/~jnz1568/getInfo.php?workbook=10_02.xlsx&amp;sheet=A0&amp;row=643&amp;col=6&amp;number=&amp;sourceID=27","")</f>
        <v/>
      </c>
      <c r="G643" s="4" t="str">
        <f>HYPERLINK("http://141.218.60.56/~jnz1568/getInfo.php?workbook=10_02.xlsx&amp;sheet=A0&amp;row=643&amp;col=7&amp;number=21510000000&amp;sourceID=32","21510000000")</f>
        <v>21510000000</v>
      </c>
      <c r="H643" s="4" t="str">
        <f>HYPERLINK("http://141.218.60.56/~jnz1568/getInfo.php?workbook=10_02.xlsx&amp;sheet=A0&amp;row=643&amp;col=8&amp;number=&amp;sourceID=32","")</f>
        <v/>
      </c>
      <c r="I643" s="4" t="str">
        <f>HYPERLINK("http://141.218.60.56/~jnz1568/getInfo.php?workbook=10_02.xlsx&amp;sheet=A0&amp;row=643&amp;col=9&amp;number=&amp;sourceID=32","")</f>
        <v/>
      </c>
      <c r="J643" s="4" t="str">
        <f>HYPERLINK("http://141.218.60.56/~jnz1568/getInfo.php?workbook=10_02.xlsx&amp;sheet=A0&amp;row=643&amp;col=10&amp;number=22.79&amp;sourceID=32","22.79")</f>
        <v>22.79</v>
      </c>
      <c r="K643" s="4" t="str">
        <f>HYPERLINK("http://141.218.60.56/~jnz1568/getInfo.php?workbook=10_02.xlsx&amp;sheet=A0&amp;row=643&amp;col=11&amp;number=21029000000&amp;sourceID=46","21029000000")</f>
        <v>21029000000</v>
      </c>
      <c r="L643" s="4" t="str">
        <f>HYPERLINK("http://141.218.60.56/~jnz1568/getInfo.php?workbook=10_02.xlsx&amp;sheet=A0&amp;row=643&amp;col=12&amp;number=&amp;sourceID=47","")</f>
        <v/>
      </c>
    </row>
    <row r="644" spans="1:12">
      <c r="A644" s="3">
        <v>10</v>
      </c>
      <c r="B644" s="3">
        <v>2</v>
      </c>
      <c r="C644" s="3">
        <v>40</v>
      </c>
      <c r="D644" s="3">
        <v>15</v>
      </c>
      <c r="E644" s="3">
        <f>((1/(INDEX(E0!J$4:J$52,C644,1)-INDEX(E0!J$4:J$52,D644,1))))*100000000</f>
        <v>0</v>
      </c>
      <c r="F644" s="4" t="str">
        <f>HYPERLINK("http://141.218.60.56/~jnz1568/getInfo.php?workbook=10_02.xlsx&amp;sheet=A0&amp;row=644&amp;col=6&amp;number=&amp;sourceID=27","")</f>
        <v/>
      </c>
      <c r="G644" s="4" t="str">
        <f>HYPERLINK("http://141.218.60.56/~jnz1568/getInfo.php?workbook=10_02.xlsx&amp;sheet=A0&amp;row=644&amp;col=7&amp;number=2014000000&amp;sourceID=32","2014000000")</f>
        <v>2014000000</v>
      </c>
      <c r="H644" s="4" t="str">
        <f>HYPERLINK("http://141.218.60.56/~jnz1568/getInfo.php?workbook=10_02.xlsx&amp;sheet=A0&amp;row=644&amp;col=8&amp;number=&amp;sourceID=32","")</f>
        <v/>
      </c>
      <c r="I644" s="4" t="str">
        <f>HYPERLINK("http://141.218.60.56/~jnz1568/getInfo.php?workbook=10_02.xlsx&amp;sheet=A0&amp;row=644&amp;col=9&amp;number=&amp;sourceID=32","")</f>
        <v/>
      </c>
      <c r="J644" s="4" t="str">
        <f>HYPERLINK("http://141.218.60.56/~jnz1568/getInfo.php?workbook=10_02.xlsx&amp;sheet=A0&amp;row=644&amp;col=10&amp;number=0.04781&amp;sourceID=32","0.04781")</f>
        <v>0.04781</v>
      </c>
      <c r="K644" s="4" t="str">
        <f>HYPERLINK("http://141.218.60.56/~jnz1568/getInfo.php?workbook=10_02.xlsx&amp;sheet=A0&amp;row=644&amp;col=11&amp;number=2091500000&amp;sourceID=46","2091500000")</f>
        <v>2091500000</v>
      </c>
      <c r="L644" s="4" t="str">
        <f>HYPERLINK("http://141.218.60.56/~jnz1568/getInfo.php?workbook=10_02.xlsx&amp;sheet=A0&amp;row=644&amp;col=12&amp;number=&amp;sourceID=47","")</f>
        <v/>
      </c>
    </row>
    <row r="645" spans="1:12">
      <c r="A645" s="3">
        <v>10</v>
      </c>
      <c r="B645" s="3">
        <v>2</v>
      </c>
      <c r="C645" s="3">
        <v>40</v>
      </c>
      <c r="D645" s="3">
        <v>16</v>
      </c>
      <c r="E645" s="3">
        <f>((1/(INDEX(E0!J$4:J$52,C645,1)-INDEX(E0!J$4:J$52,D645,1))))*100000000</f>
        <v>0</v>
      </c>
      <c r="F645" s="4" t="str">
        <f>HYPERLINK("http://141.218.60.56/~jnz1568/getInfo.php?workbook=10_02.xlsx&amp;sheet=A0&amp;row=645&amp;col=6&amp;number=&amp;sourceID=27","")</f>
        <v/>
      </c>
      <c r="G645" s="4" t="str">
        <f>HYPERLINK("http://141.218.60.56/~jnz1568/getInfo.php?workbook=10_02.xlsx&amp;sheet=A0&amp;row=645&amp;col=7&amp;number=6348000000&amp;sourceID=32","6348000000")</f>
        <v>6348000000</v>
      </c>
      <c r="H645" s="4" t="str">
        <f>HYPERLINK("http://141.218.60.56/~jnz1568/getInfo.php?workbook=10_02.xlsx&amp;sheet=A0&amp;row=645&amp;col=8&amp;number=&amp;sourceID=32","")</f>
        <v/>
      </c>
      <c r="I645" s="4" t="str">
        <f>HYPERLINK("http://141.218.60.56/~jnz1568/getInfo.php?workbook=10_02.xlsx&amp;sheet=A0&amp;row=645&amp;col=9&amp;number=&amp;sourceID=32","")</f>
        <v/>
      </c>
      <c r="J645" s="4" t="str">
        <f>HYPERLINK("http://141.218.60.56/~jnz1568/getInfo.php?workbook=10_02.xlsx&amp;sheet=A0&amp;row=645&amp;col=10&amp;number=3.441&amp;sourceID=32","3.441")</f>
        <v>3.441</v>
      </c>
      <c r="K645" s="4" t="str">
        <f>HYPERLINK("http://141.218.60.56/~jnz1568/getInfo.php?workbook=10_02.xlsx&amp;sheet=A0&amp;row=645&amp;col=11&amp;number=6762200000&amp;sourceID=46","6762200000")</f>
        <v>6762200000</v>
      </c>
      <c r="L645" s="4" t="str">
        <f>HYPERLINK("http://141.218.60.56/~jnz1568/getInfo.php?workbook=10_02.xlsx&amp;sheet=A0&amp;row=645&amp;col=12&amp;number=&amp;sourceID=47","")</f>
        <v/>
      </c>
    </row>
    <row r="646" spans="1:12">
      <c r="A646" s="3">
        <v>10</v>
      </c>
      <c r="B646" s="3">
        <v>2</v>
      </c>
      <c r="C646" s="3">
        <v>40</v>
      </c>
      <c r="D646" s="3">
        <v>17</v>
      </c>
      <c r="E646" s="3">
        <f>((1/(INDEX(E0!J$4:J$52,C646,1)-INDEX(E0!J$4:J$52,D646,1))))*100000000</f>
        <v>0</v>
      </c>
      <c r="F646" s="4" t="str">
        <f>HYPERLINK("http://141.218.60.56/~jnz1568/getInfo.php?workbook=10_02.xlsx&amp;sheet=A0&amp;row=646&amp;col=6&amp;number=&amp;sourceID=27","")</f>
        <v/>
      </c>
      <c r="G646" s="4" t="str">
        <f>HYPERLINK("http://141.218.60.56/~jnz1568/getInfo.php?workbook=10_02.xlsx&amp;sheet=A0&amp;row=646&amp;col=7&amp;number=&amp;sourceID=32","")</f>
        <v/>
      </c>
      <c r="H646" s="4" t="str">
        <f>HYPERLINK("http://141.218.60.56/~jnz1568/getInfo.php?workbook=10_02.xlsx&amp;sheet=A0&amp;row=646&amp;col=8&amp;number=3293&amp;sourceID=32","3293")</f>
        <v>3293</v>
      </c>
      <c r="I646" s="4" t="str">
        <f>HYPERLINK("http://141.218.60.56/~jnz1568/getInfo.php?workbook=10_02.xlsx&amp;sheet=A0&amp;row=646&amp;col=9&amp;number=&amp;sourceID=32","")</f>
        <v/>
      </c>
      <c r="J646" s="4" t="str">
        <f>HYPERLINK("http://141.218.60.56/~jnz1568/getInfo.php?workbook=10_02.xlsx&amp;sheet=A0&amp;row=646&amp;col=10&amp;number=&amp;sourceID=32","")</f>
        <v/>
      </c>
      <c r="K646" s="4" t="str">
        <f>HYPERLINK("http://141.218.60.56/~jnz1568/getInfo.php?workbook=10_02.xlsx&amp;sheet=A0&amp;row=646&amp;col=11&amp;number=3181.6&amp;sourceID=46","3181.6")</f>
        <v>3181.6</v>
      </c>
      <c r="L646" s="4" t="str">
        <f>HYPERLINK("http://141.218.60.56/~jnz1568/getInfo.php?workbook=10_02.xlsx&amp;sheet=A0&amp;row=646&amp;col=12&amp;number=&amp;sourceID=47","")</f>
        <v/>
      </c>
    </row>
    <row r="647" spans="1:12">
      <c r="A647" s="3">
        <v>10</v>
      </c>
      <c r="B647" s="3">
        <v>2</v>
      </c>
      <c r="C647" s="3">
        <v>40</v>
      </c>
      <c r="D647" s="3">
        <v>18</v>
      </c>
      <c r="E647" s="3">
        <f>((1/(INDEX(E0!J$4:J$52,C647,1)-INDEX(E0!J$4:J$52,D647,1))))*100000000</f>
        <v>0</v>
      </c>
      <c r="F647" s="4" t="str">
        <f>HYPERLINK("http://141.218.60.56/~jnz1568/getInfo.php?workbook=10_02.xlsx&amp;sheet=A0&amp;row=647&amp;col=6&amp;number=&amp;sourceID=27","")</f>
        <v/>
      </c>
      <c r="G647" s="4" t="str">
        <f>HYPERLINK("http://141.218.60.56/~jnz1568/getInfo.php?workbook=10_02.xlsx&amp;sheet=A0&amp;row=647&amp;col=7&amp;number=&amp;sourceID=32","")</f>
        <v/>
      </c>
      <c r="H647" s="4" t="str">
        <f>HYPERLINK("http://141.218.60.56/~jnz1568/getInfo.php?workbook=10_02.xlsx&amp;sheet=A0&amp;row=647&amp;col=8&amp;number=&amp;sourceID=32","")</f>
        <v/>
      </c>
      <c r="I647" s="4" t="str">
        <f>HYPERLINK("http://141.218.60.56/~jnz1568/getInfo.php?workbook=10_02.xlsx&amp;sheet=A0&amp;row=647&amp;col=9&amp;number=&amp;sourceID=32","")</f>
        <v/>
      </c>
      <c r="J647" s="4" t="str">
        <f>HYPERLINK("http://141.218.60.56/~jnz1568/getInfo.php?workbook=10_02.xlsx&amp;sheet=A0&amp;row=647&amp;col=10&amp;number=4.623e-09&amp;sourceID=32","4.623e-09")</f>
        <v>4.623e-09</v>
      </c>
      <c r="K647" s="4" t="str">
        <f>HYPERLINK("http://141.218.60.56/~jnz1568/getInfo.php?workbook=10_02.xlsx&amp;sheet=A0&amp;row=647&amp;col=11&amp;number=4.6294&amp;sourceID=46","4.6294")</f>
        <v>4.6294</v>
      </c>
      <c r="L647" s="4" t="str">
        <f>HYPERLINK("http://141.218.60.56/~jnz1568/getInfo.php?workbook=10_02.xlsx&amp;sheet=A0&amp;row=647&amp;col=12&amp;number=&amp;sourceID=47","")</f>
        <v/>
      </c>
    </row>
    <row r="648" spans="1:12">
      <c r="A648" s="3">
        <v>10</v>
      </c>
      <c r="B648" s="3">
        <v>2</v>
      </c>
      <c r="C648" s="3">
        <v>40</v>
      </c>
      <c r="D648" s="3">
        <v>20</v>
      </c>
      <c r="E648" s="3">
        <f>((1/(INDEX(E0!J$4:J$52,C648,1)-INDEX(E0!J$4:J$52,D648,1))))*100000000</f>
        <v>0</v>
      </c>
      <c r="F648" s="4" t="str">
        <f>HYPERLINK("http://141.218.60.56/~jnz1568/getInfo.php?workbook=10_02.xlsx&amp;sheet=A0&amp;row=648&amp;col=6&amp;number=&amp;sourceID=27","")</f>
        <v/>
      </c>
      <c r="G648" s="4" t="str">
        <f>HYPERLINK("http://141.218.60.56/~jnz1568/getInfo.php?workbook=10_02.xlsx&amp;sheet=A0&amp;row=648&amp;col=7&amp;number=&amp;sourceID=32","")</f>
        <v/>
      </c>
      <c r="H648" s="4" t="str">
        <f>HYPERLINK("http://141.218.60.56/~jnz1568/getInfo.php?workbook=10_02.xlsx&amp;sheet=A0&amp;row=648&amp;col=8&amp;number=227300&amp;sourceID=32","227300")</f>
        <v>227300</v>
      </c>
      <c r="I648" s="4" t="str">
        <f>HYPERLINK("http://141.218.60.56/~jnz1568/getInfo.php?workbook=10_02.xlsx&amp;sheet=A0&amp;row=648&amp;col=9&amp;number=&amp;sourceID=32","")</f>
        <v/>
      </c>
      <c r="J648" s="4" t="str">
        <f>HYPERLINK("http://141.218.60.56/~jnz1568/getInfo.php?workbook=10_02.xlsx&amp;sheet=A0&amp;row=648&amp;col=10&amp;number=&amp;sourceID=32","")</f>
        <v/>
      </c>
      <c r="K648" s="4" t="str">
        <f>HYPERLINK("http://141.218.60.56/~jnz1568/getInfo.php?workbook=10_02.xlsx&amp;sheet=A0&amp;row=648&amp;col=11&amp;number=233910&amp;sourceID=46","233910")</f>
        <v>233910</v>
      </c>
      <c r="L648" s="4" t="str">
        <f>HYPERLINK("http://141.218.60.56/~jnz1568/getInfo.php?workbook=10_02.xlsx&amp;sheet=A0&amp;row=648&amp;col=12&amp;number=&amp;sourceID=47","")</f>
        <v/>
      </c>
    </row>
    <row r="649" spans="1:12">
      <c r="A649" s="3">
        <v>10</v>
      </c>
      <c r="B649" s="3">
        <v>2</v>
      </c>
      <c r="C649" s="3">
        <v>40</v>
      </c>
      <c r="D649" s="3">
        <v>21</v>
      </c>
      <c r="E649" s="3">
        <f>((1/(INDEX(E0!J$4:J$52,C649,1)-INDEX(E0!J$4:J$52,D649,1))))*100000000</f>
        <v>0</v>
      </c>
      <c r="F649" s="4" t="str">
        <f>HYPERLINK("http://141.218.60.56/~jnz1568/getInfo.php?workbook=10_02.xlsx&amp;sheet=A0&amp;row=649&amp;col=6&amp;number=&amp;sourceID=27","")</f>
        <v/>
      </c>
      <c r="G649" s="4" t="str">
        <f>HYPERLINK("http://141.218.60.56/~jnz1568/getInfo.php?workbook=10_02.xlsx&amp;sheet=A0&amp;row=649&amp;col=7&amp;number=&amp;sourceID=32","")</f>
        <v/>
      </c>
      <c r="H649" s="4" t="str">
        <f>HYPERLINK("http://141.218.60.56/~jnz1568/getInfo.php?workbook=10_02.xlsx&amp;sheet=A0&amp;row=649&amp;col=8&amp;number=&amp;sourceID=32","")</f>
        <v/>
      </c>
      <c r="I649" s="4" t="str">
        <f>HYPERLINK("http://141.218.60.56/~jnz1568/getInfo.php?workbook=10_02.xlsx&amp;sheet=A0&amp;row=649&amp;col=9&amp;number=&amp;sourceID=32","")</f>
        <v/>
      </c>
      <c r="J649" s="4" t="str">
        <f>HYPERLINK("http://141.218.60.56/~jnz1568/getInfo.php?workbook=10_02.xlsx&amp;sheet=A0&amp;row=649&amp;col=10&amp;number=&amp;sourceID=32","")</f>
        <v/>
      </c>
      <c r="K649" s="4" t="str">
        <f>HYPERLINK("http://141.218.60.56/~jnz1568/getInfo.php?workbook=10_02.xlsx&amp;sheet=A0&amp;row=649&amp;col=11&amp;number=2.2193&amp;sourceID=46","2.2193")</f>
        <v>2.2193</v>
      </c>
      <c r="L649" s="4" t="str">
        <f>HYPERLINK("http://141.218.60.56/~jnz1568/getInfo.php?workbook=10_02.xlsx&amp;sheet=A0&amp;row=649&amp;col=12&amp;number=&amp;sourceID=47","")</f>
        <v/>
      </c>
    </row>
    <row r="650" spans="1:12">
      <c r="A650" s="3">
        <v>10</v>
      </c>
      <c r="B650" s="3">
        <v>2</v>
      </c>
      <c r="C650" s="3">
        <v>40</v>
      </c>
      <c r="D650" s="3">
        <v>22</v>
      </c>
      <c r="E650" s="3">
        <f>((1/(INDEX(E0!J$4:J$52,C650,1)-INDEX(E0!J$4:J$52,D650,1))))*100000000</f>
        <v>0</v>
      </c>
      <c r="F650" s="4" t="str">
        <f>HYPERLINK("http://141.218.60.56/~jnz1568/getInfo.php?workbook=10_02.xlsx&amp;sheet=A0&amp;row=650&amp;col=6&amp;number=&amp;sourceID=27","")</f>
        <v/>
      </c>
      <c r="G650" s="4" t="str">
        <f>HYPERLINK("http://141.218.60.56/~jnz1568/getInfo.php?workbook=10_02.xlsx&amp;sheet=A0&amp;row=650&amp;col=7&amp;number=&amp;sourceID=32","")</f>
        <v/>
      </c>
      <c r="H650" s="4" t="str">
        <f>HYPERLINK("http://141.218.60.56/~jnz1568/getInfo.php?workbook=10_02.xlsx&amp;sheet=A0&amp;row=650&amp;col=8&amp;number=107900&amp;sourceID=32","107900")</f>
        <v>107900</v>
      </c>
      <c r="I650" s="4" t="str">
        <f>HYPERLINK("http://141.218.60.56/~jnz1568/getInfo.php?workbook=10_02.xlsx&amp;sheet=A0&amp;row=650&amp;col=9&amp;number=0.0001627&amp;sourceID=32","0.0001627")</f>
        <v>0.0001627</v>
      </c>
      <c r="J650" s="4" t="str">
        <f>HYPERLINK("http://141.218.60.56/~jnz1568/getInfo.php?workbook=10_02.xlsx&amp;sheet=A0&amp;row=650&amp;col=10&amp;number=&amp;sourceID=32","")</f>
        <v/>
      </c>
      <c r="K650" s="4" t="str">
        <f>HYPERLINK("http://141.218.60.56/~jnz1568/getInfo.php?workbook=10_02.xlsx&amp;sheet=A0&amp;row=650&amp;col=11&amp;number=112100&amp;sourceID=46","112100")</f>
        <v>112100</v>
      </c>
      <c r="L650" s="4" t="str">
        <f>HYPERLINK("http://141.218.60.56/~jnz1568/getInfo.php?workbook=10_02.xlsx&amp;sheet=A0&amp;row=650&amp;col=12&amp;number=&amp;sourceID=47","")</f>
        <v/>
      </c>
    </row>
    <row r="651" spans="1:12">
      <c r="A651" s="3">
        <v>10</v>
      </c>
      <c r="B651" s="3">
        <v>2</v>
      </c>
      <c r="C651" s="3">
        <v>40</v>
      </c>
      <c r="D651" s="3">
        <v>23</v>
      </c>
      <c r="E651" s="3">
        <f>((1/(INDEX(E0!J$4:J$52,C651,1)-INDEX(E0!J$4:J$52,D651,1))))*100000000</f>
        <v>0</v>
      </c>
      <c r="F651" s="4" t="str">
        <f>HYPERLINK("http://141.218.60.56/~jnz1568/getInfo.php?workbook=10_02.xlsx&amp;sheet=A0&amp;row=651&amp;col=6&amp;number=&amp;sourceID=27","")</f>
        <v/>
      </c>
      <c r="G651" s="4" t="str">
        <f>HYPERLINK("http://141.218.60.56/~jnz1568/getInfo.php?workbook=10_02.xlsx&amp;sheet=A0&amp;row=651&amp;col=7&amp;number=&amp;sourceID=32","")</f>
        <v/>
      </c>
      <c r="H651" s="4" t="str">
        <f>HYPERLINK("http://141.218.60.56/~jnz1568/getInfo.php?workbook=10_02.xlsx&amp;sheet=A0&amp;row=651&amp;col=8&amp;number=&amp;sourceID=32","")</f>
        <v/>
      </c>
      <c r="I651" s="4" t="str">
        <f>HYPERLINK("http://141.218.60.56/~jnz1568/getInfo.php?workbook=10_02.xlsx&amp;sheet=A0&amp;row=651&amp;col=9&amp;number=&amp;sourceID=32","")</f>
        <v/>
      </c>
      <c r="J651" s="4" t="str">
        <f>HYPERLINK("http://141.218.60.56/~jnz1568/getInfo.php?workbook=10_02.xlsx&amp;sheet=A0&amp;row=651&amp;col=10&amp;number=0.1932&amp;sourceID=32","0.1932")</f>
        <v>0.1932</v>
      </c>
      <c r="K651" s="4" t="str">
        <f>HYPERLINK("http://141.218.60.56/~jnz1568/getInfo.php?workbook=10_02.xlsx&amp;sheet=A0&amp;row=651&amp;col=11&amp;number=&amp;sourceID=46","")</f>
        <v/>
      </c>
      <c r="L651" s="4" t="str">
        <f>HYPERLINK("http://141.218.60.56/~jnz1568/getInfo.php?workbook=10_02.xlsx&amp;sheet=A0&amp;row=651&amp;col=12&amp;number=&amp;sourceID=47","")</f>
        <v/>
      </c>
    </row>
    <row r="652" spans="1:12">
      <c r="A652" s="3">
        <v>10</v>
      </c>
      <c r="B652" s="3">
        <v>2</v>
      </c>
      <c r="C652" s="3">
        <v>40</v>
      </c>
      <c r="D652" s="3">
        <v>24</v>
      </c>
      <c r="E652" s="3">
        <f>((1/(INDEX(E0!J$4:J$52,C652,1)-INDEX(E0!J$4:J$52,D652,1))))*100000000</f>
        <v>0</v>
      </c>
      <c r="F652" s="4" t="str">
        <f>HYPERLINK("http://141.218.60.56/~jnz1568/getInfo.php?workbook=10_02.xlsx&amp;sheet=A0&amp;row=652&amp;col=6&amp;number=&amp;sourceID=27","")</f>
        <v/>
      </c>
      <c r="G652" s="4" t="str">
        <f>HYPERLINK("http://141.218.60.56/~jnz1568/getInfo.php?workbook=10_02.xlsx&amp;sheet=A0&amp;row=652&amp;col=7&amp;number=11650000000&amp;sourceID=32","11650000000")</f>
        <v>11650000000</v>
      </c>
      <c r="H652" s="4" t="str">
        <f>HYPERLINK("http://141.218.60.56/~jnz1568/getInfo.php?workbook=10_02.xlsx&amp;sheet=A0&amp;row=652&amp;col=8&amp;number=&amp;sourceID=32","")</f>
        <v/>
      </c>
      <c r="I652" s="4" t="str">
        <f>HYPERLINK("http://141.218.60.56/~jnz1568/getInfo.php?workbook=10_02.xlsx&amp;sheet=A0&amp;row=652&amp;col=9&amp;number=&amp;sourceID=32","")</f>
        <v/>
      </c>
      <c r="J652" s="4" t="str">
        <f>HYPERLINK("http://141.218.60.56/~jnz1568/getInfo.php?workbook=10_02.xlsx&amp;sheet=A0&amp;row=652&amp;col=10&amp;number=1.255&amp;sourceID=32","1.255")</f>
        <v>1.255</v>
      </c>
      <c r="K652" s="4" t="str">
        <f>HYPERLINK("http://141.218.60.56/~jnz1568/getInfo.php?workbook=10_02.xlsx&amp;sheet=A0&amp;row=652&amp;col=11&amp;number=11469000000&amp;sourceID=46","11469000000")</f>
        <v>11469000000</v>
      </c>
      <c r="L652" s="4" t="str">
        <f>HYPERLINK("http://141.218.60.56/~jnz1568/getInfo.php?workbook=10_02.xlsx&amp;sheet=A0&amp;row=652&amp;col=12&amp;number=&amp;sourceID=47","")</f>
        <v/>
      </c>
    </row>
    <row r="653" spans="1:12">
      <c r="A653" s="3">
        <v>10</v>
      </c>
      <c r="B653" s="3">
        <v>2</v>
      </c>
      <c r="C653" s="3">
        <v>40</v>
      </c>
      <c r="D653" s="3">
        <v>25</v>
      </c>
      <c r="E653" s="3">
        <f>((1/(INDEX(E0!J$4:J$52,C653,1)-INDEX(E0!J$4:J$52,D653,1))))*100000000</f>
        <v>0</v>
      </c>
      <c r="F653" s="4" t="str">
        <f>HYPERLINK("http://141.218.60.56/~jnz1568/getInfo.php?workbook=10_02.xlsx&amp;sheet=A0&amp;row=653&amp;col=6&amp;number=&amp;sourceID=27","")</f>
        <v/>
      </c>
      <c r="G653" s="4" t="str">
        <f>HYPERLINK("http://141.218.60.56/~jnz1568/getInfo.php?workbook=10_02.xlsx&amp;sheet=A0&amp;row=653&amp;col=7&amp;number=1144000000&amp;sourceID=32","1144000000")</f>
        <v>1144000000</v>
      </c>
      <c r="H653" s="4" t="str">
        <f>HYPERLINK("http://141.218.60.56/~jnz1568/getInfo.php?workbook=10_02.xlsx&amp;sheet=A0&amp;row=653&amp;col=8&amp;number=&amp;sourceID=32","")</f>
        <v/>
      </c>
      <c r="I653" s="4" t="str">
        <f>HYPERLINK("http://141.218.60.56/~jnz1568/getInfo.php?workbook=10_02.xlsx&amp;sheet=A0&amp;row=653&amp;col=9&amp;number=&amp;sourceID=32","")</f>
        <v/>
      </c>
      <c r="J653" s="4" t="str">
        <f>HYPERLINK("http://141.218.60.56/~jnz1568/getInfo.php?workbook=10_02.xlsx&amp;sheet=A0&amp;row=653&amp;col=10&amp;number=0.002738&amp;sourceID=32","0.002738")</f>
        <v>0.002738</v>
      </c>
      <c r="K653" s="4" t="str">
        <f>HYPERLINK("http://141.218.60.56/~jnz1568/getInfo.php?workbook=10_02.xlsx&amp;sheet=A0&amp;row=653&amp;col=11&amp;number=1187200000&amp;sourceID=46","1187200000")</f>
        <v>1187200000</v>
      </c>
      <c r="L653" s="4" t="str">
        <f>HYPERLINK("http://141.218.60.56/~jnz1568/getInfo.php?workbook=10_02.xlsx&amp;sheet=A0&amp;row=653&amp;col=12&amp;number=&amp;sourceID=47","")</f>
        <v/>
      </c>
    </row>
    <row r="654" spans="1:12">
      <c r="A654" s="3">
        <v>10</v>
      </c>
      <c r="B654" s="3">
        <v>2</v>
      </c>
      <c r="C654" s="3">
        <v>40</v>
      </c>
      <c r="D654" s="3">
        <v>26</v>
      </c>
      <c r="E654" s="3">
        <f>((1/(INDEX(E0!J$4:J$52,C654,1)-INDEX(E0!J$4:J$52,D654,1))))*100000000</f>
        <v>0</v>
      </c>
      <c r="F654" s="4" t="str">
        <f>HYPERLINK("http://141.218.60.56/~jnz1568/getInfo.php?workbook=10_02.xlsx&amp;sheet=A0&amp;row=654&amp;col=6&amp;number=&amp;sourceID=27","")</f>
        <v/>
      </c>
      <c r="G654" s="4" t="str">
        <f>HYPERLINK("http://141.218.60.56/~jnz1568/getInfo.php?workbook=10_02.xlsx&amp;sheet=A0&amp;row=654&amp;col=7&amp;number=&amp;sourceID=32","")</f>
        <v/>
      </c>
      <c r="H654" s="4" t="str">
        <f>HYPERLINK("http://141.218.60.56/~jnz1568/getInfo.php?workbook=10_02.xlsx&amp;sheet=A0&amp;row=654&amp;col=8&amp;number=58790&amp;sourceID=32","58790")</f>
        <v>58790</v>
      </c>
      <c r="I654" s="4" t="str">
        <f>HYPERLINK("http://141.218.60.56/~jnz1568/getInfo.php?workbook=10_02.xlsx&amp;sheet=A0&amp;row=654&amp;col=9&amp;number=0.004468&amp;sourceID=32","0.004468")</f>
        <v>0.004468</v>
      </c>
      <c r="J654" s="4" t="str">
        <f>HYPERLINK("http://141.218.60.56/~jnz1568/getInfo.php?workbook=10_02.xlsx&amp;sheet=A0&amp;row=654&amp;col=10&amp;number=&amp;sourceID=32","")</f>
        <v/>
      </c>
      <c r="K654" s="4" t="str">
        <f>HYPERLINK("http://141.218.60.56/~jnz1568/getInfo.php?workbook=10_02.xlsx&amp;sheet=A0&amp;row=654&amp;col=11&amp;number=58136&amp;sourceID=46","58136")</f>
        <v>58136</v>
      </c>
      <c r="L654" s="4" t="str">
        <f>HYPERLINK("http://141.218.60.56/~jnz1568/getInfo.php?workbook=10_02.xlsx&amp;sheet=A0&amp;row=654&amp;col=12&amp;number=&amp;sourceID=47","")</f>
        <v/>
      </c>
    </row>
    <row r="655" spans="1:12">
      <c r="A655" s="3">
        <v>10</v>
      </c>
      <c r="B655" s="3">
        <v>2</v>
      </c>
      <c r="C655" s="3">
        <v>40</v>
      </c>
      <c r="D655" s="3">
        <v>27</v>
      </c>
      <c r="E655" s="3">
        <f>((1/(INDEX(E0!J$4:J$52,C655,1)-INDEX(E0!J$4:J$52,D655,1))))*100000000</f>
        <v>0</v>
      </c>
      <c r="F655" s="4" t="str">
        <f>HYPERLINK("http://141.218.60.56/~jnz1568/getInfo.php?workbook=10_02.xlsx&amp;sheet=A0&amp;row=655&amp;col=6&amp;number=&amp;sourceID=27","")</f>
        <v/>
      </c>
      <c r="G655" s="4" t="str">
        <f>HYPERLINK("http://141.218.60.56/~jnz1568/getInfo.php?workbook=10_02.xlsx&amp;sheet=A0&amp;row=655&amp;col=7&amp;number=&amp;sourceID=32","")</f>
        <v/>
      </c>
      <c r="H655" s="4" t="str">
        <f>HYPERLINK("http://141.218.60.56/~jnz1568/getInfo.php?workbook=10_02.xlsx&amp;sheet=A0&amp;row=655&amp;col=8&amp;number=10580&amp;sourceID=32","10580")</f>
        <v>10580</v>
      </c>
      <c r="I655" s="4" t="str">
        <f>HYPERLINK("http://141.218.60.56/~jnz1568/getInfo.php?workbook=10_02.xlsx&amp;sheet=A0&amp;row=655&amp;col=9&amp;number=1.477e-05&amp;sourceID=32","1.477e-05")</f>
        <v>1.477e-05</v>
      </c>
      <c r="J655" s="4" t="str">
        <f>HYPERLINK("http://141.218.60.56/~jnz1568/getInfo.php?workbook=10_02.xlsx&amp;sheet=A0&amp;row=655&amp;col=10&amp;number=&amp;sourceID=32","")</f>
        <v/>
      </c>
      <c r="K655" s="4" t="str">
        <f>HYPERLINK("http://141.218.60.56/~jnz1568/getInfo.php?workbook=10_02.xlsx&amp;sheet=A0&amp;row=655&amp;col=11&amp;number=10977&amp;sourceID=46","10977")</f>
        <v>10977</v>
      </c>
      <c r="L655" s="4" t="str">
        <f>HYPERLINK("http://141.218.60.56/~jnz1568/getInfo.php?workbook=10_02.xlsx&amp;sheet=A0&amp;row=655&amp;col=12&amp;number=&amp;sourceID=47","")</f>
        <v/>
      </c>
    </row>
    <row r="656" spans="1:12">
      <c r="A656" s="3">
        <v>10</v>
      </c>
      <c r="B656" s="3">
        <v>2</v>
      </c>
      <c r="C656" s="3">
        <v>40</v>
      </c>
      <c r="D656" s="3">
        <v>28</v>
      </c>
      <c r="E656" s="3">
        <v>11429</v>
      </c>
      <c r="F656" s="4" t="str">
        <f>HYPERLINK("http://141.218.60.56/~jnz1568/getInfo.php?workbook=10_02.xlsx&amp;sheet=A0&amp;row=656&amp;col=6&amp;number=&amp;sourceID=27","")</f>
        <v/>
      </c>
      <c r="G656" s="4" t="str">
        <f>HYPERLINK("http://141.218.60.56/~jnz1568/getInfo.php?workbook=10_02.xlsx&amp;sheet=A0&amp;row=656&amp;col=7&amp;number=&amp;sourceID=32","")</f>
        <v/>
      </c>
      <c r="H656" s="4" t="str">
        <f>HYPERLINK("http://141.218.60.56/~jnz1568/getInfo.php?workbook=10_02.xlsx&amp;sheet=A0&amp;row=656&amp;col=8&amp;number=&amp;sourceID=32","")</f>
        <v/>
      </c>
      <c r="I656" s="4" t="str">
        <f>HYPERLINK("http://141.218.60.56/~jnz1568/getInfo.php?workbook=10_02.xlsx&amp;sheet=A0&amp;row=656&amp;col=9&amp;number=&amp;sourceID=32","")</f>
        <v/>
      </c>
      <c r="J656" s="4" t="str">
        <f>HYPERLINK("http://141.218.60.56/~jnz1568/getInfo.php?workbook=10_02.xlsx&amp;sheet=A0&amp;row=656&amp;col=10&amp;number=&amp;sourceID=32","")</f>
        <v/>
      </c>
      <c r="K656" s="4" t="str">
        <f>HYPERLINK("http://141.218.60.56/~jnz1568/getInfo.php?workbook=10_02.xlsx&amp;sheet=A0&amp;row=656&amp;col=11&amp;number=&amp;sourceID=46","")</f>
        <v/>
      </c>
      <c r="L656" s="4" t="str">
        <f>HYPERLINK("http://141.218.60.56/~jnz1568/getInfo.php?workbook=10_02.xlsx&amp;sheet=A0&amp;row=656&amp;col=12&amp;number=&amp;sourceID=47","")</f>
        <v/>
      </c>
    </row>
    <row r="657" spans="1:12">
      <c r="A657" s="3">
        <v>10</v>
      </c>
      <c r="B657" s="3">
        <v>2</v>
      </c>
      <c r="C657" s="3">
        <v>40</v>
      </c>
      <c r="D657" s="3">
        <v>29</v>
      </c>
      <c r="E657" s="3">
        <f>((1/(INDEX(E0!J$4:J$52,C657,1)-INDEX(E0!J$4:J$52,D657,1))))*100000000</f>
        <v>0</v>
      </c>
      <c r="F657" s="4" t="str">
        <f>HYPERLINK("http://141.218.60.56/~jnz1568/getInfo.php?workbook=10_02.xlsx&amp;sheet=A0&amp;row=657&amp;col=6&amp;number=&amp;sourceID=27","")</f>
        <v/>
      </c>
      <c r="G657" s="4" t="str">
        <f>HYPERLINK("http://141.218.60.56/~jnz1568/getInfo.php?workbook=10_02.xlsx&amp;sheet=A0&amp;row=657&amp;col=7&amp;number=4170000000&amp;sourceID=32","4170000000")</f>
        <v>4170000000</v>
      </c>
      <c r="H657" s="4" t="str">
        <f>HYPERLINK("http://141.218.60.56/~jnz1568/getInfo.php?workbook=10_02.xlsx&amp;sheet=A0&amp;row=657&amp;col=8&amp;number=&amp;sourceID=32","")</f>
        <v/>
      </c>
      <c r="I657" s="4" t="str">
        <f>HYPERLINK("http://141.218.60.56/~jnz1568/getInfo.php?workbook=10_02.xlsx&amp;sheet=A0&amp;row=657&amp;col=9&amp;number=&amp;sourceID=32","")</f>
        <v/>
      </c>
      <c r="J657" s="4" t="str">
        <f>HYPERLINK("http://141.218.60.56/~jnz1568/getInfo.php?workbook=10_02.xlsx&amp;sheet=A0&amp;row=657&amp;col=10&amp;number=0.239&amp;sourceID=32","0.239")</f>
        <v>0.239</v>
      </c>
      <c r="K657" s="4" t="str">
        <f>HYPERLINK("http://141.218.60.56/~jnz1568/getInfo.php?workbook=10_02.xlsx&amp;sheet=A0&amp;row=657&amp;col=11&amp;number=4311300000&amp;sourceID=46","4311300000")</f>
        <v>4311300000</v>
      </c>
      <c r="L657" s="4" t="str">
        <f>HYPERLINK("http://141.218.60.56/~jnz1568/getInfo.php?workbook=10_02.xlsx&amp;sheet=A0&amp;row=657&amp;col=12&amp;number=&amp;sourceID=47","")</f>
        <v/>
      </c>
    </row>
    <row r="658" spans="1:12">
      <c r="A658" s="3">
        <v>10</v>
      </c>
      <c r="B658" s="3">
        <v>2</v>
      </c>
      <c r="C658" s="3">
        <v>40</v>
      </c>
      <c r="D658" s="3">
        <v>30</v>
      </c>
      <c r="E658" s="3">
        <f>((1/(INDEX(E0!J$4:J$52,C658,1)-INDEX(E0!J$4:J$52,D658,1))))*100000000</f>
        <v>0</v>
      </c>
      <c r="F658" s="4" t="str">
        <f>HYPERLINK("http://141.218.60.56/~jnz1568/getInfo.php?workbook=10_02.xlsx&amp;sheet=A0&amp;row=658&amp;col=6&amp;number=&amp;sourceID=27","")</f>
        <v/>
      </c>
      <c r="G658" s="4" t="str">
        <f>HYPERLINK("http://141.218.60.56/~jnz1568/getInfo.php?workbook=10_02.xlsx&amp;sheet=A0&amp;row=658&amp;col=7&amp;number=&amp;sourceID=32","")</f>
        <v/>
      </c>
      <c r="H658" s="4" t="str">
        <f>HYPERLINK("http://141.218.60.56/~jnz1568/getInfo.php?workbook=10_02.xlsx&amp;sheet=A0&amp;row=658&amp;col=8&amp;number=928.1&amp;sourceID=32","928.1")</f>
        <v>928.1</v>
      </c>
      <c r="I658" s="4" t="str">
        <f>HYPERLINK("http://141.218.60.56/~jnz1568/getInfo.php?workbook=10_02.xlsx&amp;sheet=A0&amp;row=658&amp;col=9&amp;number=0.0002707&amp;sourceID=32","0.0002707")</f>
        <v>0.0002707</v>
      </c>
      <c r="J658" s="4" t="str">
        <f>HYPERLINK("http://141.218.60.56/~jnz1568/getInfo.php?workbook=10_02.xlsx&amp;sheet=A0&amp;row=658&amp;col=10&amp;number=&amp;sourceID=32","")</f>
        <v/>
      </c>
      <c r="K658" s="4" t="str">
        <f>HYPERLINK("http://141.218.60.56/~jnz1568/getInfo.php?workbook=10_02.xlsx&amp;sheet=A0&amp;row=658&amp;col=11&amp;number=773.95&amp;sourceID=46","773.95")</f>
        <v>773.95</v>
      </c>
      <c r="L658" s="4" t="str">
        <f>HYPERLINK("http://141.218.60.56/~jnz1568/getInfo.php?workbook=10_02.xlsx&amp;sheet=A0&amp;row=658&amp;col=12&amp;number=&amp;sourceID=47","")</f>
        <v/>
      </c>
    </row>
    <row r="659" spans="1:12">
      <c r="A659" s="3">
        <v>10</v>
      </c>
      <c r="B659" s="3">
        <v>2</v>
      </c>
      <c r="C659" s="3">
        <v>40</v>
      </c>
      <c r="D659" s="3">
        <v>31</v>
      </c>
      <c r="E659" s="3">
        <f>((1/(INDEX(E0!J$4:J$52,C659,1)-INDEX(E0!J$4:J$52,D659,1))))*100000000</f>
        <v>0</v>
      </c>
      <c r="F659" s="4" t="str">
        <f>HYPERLINK("http://141.218.60.56/~jnz1568/getInfo.php?workbook=10_02.xlsx&amp;sheet=A0&amp;row=659&amp;col=6&amp;number=&amp;sourceID=27","")</f>
        <v/>
      </c>
      <c r="G659" s="4" t="str">
        <f>HYPERLINK("http://141.218.60.56/~jnz1568/getInfo.php?workbook=10_02.xlsx&amp;sheet=A0&amp;row=659&amp;col=7&amp;number=&amp;sourceID=32","")</f>
        <v/>
      </c>
      <c r="H659" s="4" t="str">
        <f>HYPERLINK("http://141.218.60.56/~jnz1568/getInfo.php?workbook=10_02.xlsx&amp;sheet=A0&amp;row=659&amp;col=8&amp;number=182200&amp;sourceID=32","182200")</f>
        <v>182200</v>
      </c>
      <c r="I659" s="4" t="str">
        <f>HYPERLINK("http://141.218.60.56/~jnz1568/getInfo.php?workbook=10_02.xlsx&amp;sheet=A0&amp;row=659&amp;col=9&amp;number=&amp;sourceID=32","")</f>
        <v/>
      </c>
      <c r="J659" s="4" t="str">
        <f>HYPERLINK("http://141.218.60.56/~jnz1568/getInfo.php?workbook=10_02.xlsx&amp;sheet=A0&amp;row=659&amp;col=10&amp;number=&amp;sourceID=32","")</f>
        <v/>
      </c>
      <c r="K659" s="4" t="str">
        <f>HYPERLINK("http://141.218.60.56/~jnz1568/getInfo.php?workbook=10_02.xlsx&amp;sheet=A0&amp;row=659&amp;col=11&amp;number=171980&amp;sourceID=46","171980")</f>
        <v>171980</v>
      </c>
      <c r="L659" s="4" t="str">
        <f>HYPERLINK("http://141.218.60.56/~jnz1568/getInfo.php?workbook=10_02.xlsx&amp;sheet=A0&amp;row=659&amp;col=12&amp;number=&amp;sourceID=47","")</f>
        <v/>
      </c>
    </row>
    <row r="660" spans="1:12">
      <c r="A660" s="3">
        <v>10</v>
      </c>
      <c r="B660" s="3">
        <v>2</v>
      </c>
      <c r="C660" s="3">
        <v>40</v>
      </c>
      <c r="D660" s="3">
        <v>32</v>
      </c>
      <c r="E660" s="3">
        <f>((1/(INDEX(E0!J$4:J$52,C660,1)-INDEX(E0!J$4:J$52,D660,1))))*100000000</f>
        <v>0</v>
      </c>
      <c r="F660" s="4" t="str">
        <f>HYPERLINK("http://141.218.60.56/~jnz1568/getInfo.php?workbook=10_02.xlsx&amp;sheet=A0&amp;row=660&amp;col=6&amp;number=&amp;sourceID=27","")</f>
        <v/>
      </c>
      <c r="G660" s="4" t="str">
        <f>HYPERLINK("http://141.218.60.56/~jnz1568/getInfo.php?workbook=10_02.xlsx&amp;sheet=A0&amp;row=660&amp;col=7&amp;number=&amp;sourceID=32","")</f>
        <v/>
      </c>
      <c r="H660" s="4" t="str">
        <f>HYPERLINK("http://141.218.60.56/~jnz1568/getInfo.php?workbook=10_02.xlsx&amp;sheet=A0&amp;row=660&amp;col=8&amp;number=&amp;sourceID=32","")</f>
        <v/>
      </c>
      <c r="I660" s="4" t="str">
        <f>HYPERLINK("http://141.218.60.56/~jnz1568/getInfo.php?workbook=10_02.xlsx&amp;sheet=A0&amp;row=660&amp;col=9&amp;number=&amp;sourceID=32","")</f>
        <v/>
      </c>
      <c r="J660" s="4" t="str">
        <f>HYPERLINK("http://141.218.60.56/~jnz1568/getInfo.php?workbook=10_02.xlsx&amp;sheet=A0&amp;row=660&amp;col=10&amp;number=3e-15&amp;sourceID=32","3e-15")</f>
        <v>3e-15</v>
      </c>
      <c r="K660" s="4" t="str">
        <f>HYPERLINK("http://141.218.60.56/~jnz1568/getInfo.php?workbook=10_02.xlsx&amp;sheet=A0&amp;row=660&amp;col=11&amp;number=&amp;sourceID=46","")</f>
        <v/>
      </c>
      <c r="L660" s="4" t="str">
        <f>HYPERLINK("http://141.218.60.56/~jnz1568/getInfo.php?workbook=10_02.xlsx&amp;sheet=A0&amp;row=660&amp;col=12&amp;number=&amp;sourceID=47","")</f>
        <v/>
      </c>
    </row>
    <row r="661" spans="1:12">
      <c r="A661" s="3">
        <v>10</v>
      </c>
      <c r="B661" s="3">
        <v>2</v>
      </c>
      <c r="C661" s="3">
        <v>40</v>
      </c>
      <c r="D661" s="3">
        <v>35</v>
      </c>
      <c r="E661" s="3">
        <f>((1/(INDEX(E0!J$4:J$52,C661,1)-INDEX(E0!J$4:J$52,D661,1))))*100000000</f>
        <v>0</v>
      </c>
      <c r="F661" s="4" t="str">
        <f>HYPERLINK("http://141.218.60.56/~jnz1568/getInfo.php?workbook=10_02.xlsx&amp;sheet=A0&amp;row=661&amp;col=6&amp;number=&amp;sourceID=27","")</f>
        <v/>
      </c>
      <c r="G661" s="4" t="str">
        <f>HYPERLINK("http://141.218.60.56/~jnz1568/getInfo.php?workbook=10_02.xlsx&amp;sheet=A0&amp;row=661&amp;col=7&amp;number=&amp;sourceID=32","")</f>
        <v/>
      </c>
      <c r="H661" s="4" t="str">
        <f>HYPERLINK("http://141.218.60.56/~jnz1568/getInfo.php?workbook=10_02.xlsx&amp;sheet=A0&amp;row=661&amp;col=8&amp;number=0.0003479&amp;sourceID=32","0.0003479")</f>
        <v>0.0003479</v>
      </c>
      <c r="I661" s="4" t="str">
        <f>HYPERLINK("http://141.218.60.56/~jnz1568/getInfo.php?workbook=10_02.xlsx&amp;sheet=A0&amp;row=661&amp;col=9&amp;number=&amp;sourceID=32","")</f>
        <v/>
      </c>
      <c r="J661" s="4" t="str">
        <f>HYPERLINK("http://141.218.60.56/~jnz1568/getInfo.php?workbook=10_02.xlsx&amp;sheet=A0&amp;row=661&amp;col=10&amp;number=&amp;sourceID=32","")</f>
        <v/>
      </c>
      <c r="K661" s="4" t="str">
        <f>HYPERLINK("http://141.218.60.56/~jnz1568/getInfo.php?workbook=10_02.xlsx&amp;sheet=A0&amp;row=661&amp;col=11&amp;number=44.955&amp;sourceID=46","44.955")</f>
        <v>44.955</v>
      </c>
      <c r="L661" s="4" t="str">
        <f>HYPERLINK("http://141.218.60.56/~jnz1568/getInfo.php?workbook=10_02.xlsx&amp;sheet=A0&amp;row=661&amp;col=12&amp;number=&amp;sourceID=47","")</f>
        <v/>
      </c>
    </row>
    <row r="662" spans="1:12">
      <c r="A662" s="3">
        <v>10</v>
      </c>
      <c r="B662" s="3">
        <v>2</v>
      </c>
      <c r="C662" s="3">
        <v>40</v>
      </c>
      <c r="D662" s="3">
        <v>36</v>
      </c>
      <c r="E662" s="3">
        <f>((1/(INDEX(E0!J$4:J$52,C662,1)-INDEX(E0!J$4:J$52,D662,1))))*100000000</f>
        <v>0</v>
      </c>
      <c r="F662" s="4" t="str">
        <f>HYPERLINK("http://141.218.60.56/~jnz1568/getInfo.php?workbook=10_02.xlsx&amp;sheet=A0&amp;row=662&amp;col=6&amp;number=&amp;sourceID=27","")</f>
        <v/>
      </c>
      <c r="G662" s="4" t="str">
        <f>HYPERLINK("http://141.218.60.56/~jnz1568/getInfo.php?workbook=10_02.xlsx&amp;sheet=A0&amp;row=662&amp;col=7&amp;number=&amp;sourceID=32","")</f>
        <v/>
      </c>
      <c r="H662" s="4" t="str">
        <f>HYPERLINK("http://141.218.60.56/~jnz1568/getInfo.php?workbook=10_02.xlsx&amp;sheet=A0&amp;row=662&amp;col=8&amp;number=0.0001353&amp;sourceID=32","0.0001353")</f>
        <v>0.0001353</v>
      </c>
      <c r="I662" s="4" t="str">
        <f>HYPERLINK("http://141.218.60.56/~jnz1568/getInfo.php?workbook=10_02.xlsx&amp;sheet=A0&amp;row=662&amp;col=9&amp;number=1.824e-09&amp;sourceID=32","1.824e-09")</f>
        <v>1.824e-09</v>
      </c>
      <c r="J662" s="4" t="str">
        <f>HYPERLINK("http://141.218.60.56/~jnz1568/getInfo.php?workbook=10_02.xlsx&amp;sheet=A0&amp;row=662&amp;col=10&amp;number=&amp;sourceID=32","")</f>
        <v/>
      </c>
      <c r="K662" s="4" t="str">
        <f>HYPERLINK("http://141.218.60.56/~jnz1568/getInfo.php?workbook=10_02.xlsx&amp;sheet=A0&amp;row=662&amp;col=11&amp;number=2.798&amp;sourceID=46","2.798")</f>
        <v>2.798</v>
      </c>
      <c r="L662" s="4" t="str">
        <f>HYPERLINK("http://141.218.60.56/~jnz1568/getInfo.php?workbook=10_02.xlsx&amp;sheet=A0&amp;row=662&amp;col=12&amp;number=&amp;sourceID=47","")</f>
        <v/>
      </c>
    </row>
    <row r="663" spans="1:12">
      <c r="A663" s="3">
        <v>10</v>
      </c>
      <c r="B663" s="3">
        <v>2</v>
      </c>
      <c r="C663" s="3">
        <v>40</v>
      </c>
      <c r="D663" s="3">
        <v>37</v>
      </c>
      <c r="E663" s="3">
        <f>((1/(INDEX(E0!J$4:J$52,C663,1)-INDEX(E0!J$4:J$52,D663,1))))*100000000</f>
        <v>0</v>
      </c>
      <c r="F663" s="4" t="str">
        <f>HYPERLINK("http://141.218.60.56/~jnz1568/getInfo.php?workbook=10_02.xlsx&amp;sheet=A0&amp;row=663&amp;col=6&amp;number=&amp;sourceID=27","")</f>
        <v/>
      </c>
      <c r="G663" s="4" t="str">
        <f>HYPERLINK("http://141.218.60.56/~jnz1568/getInfo.php?workbook=10_02.xlsx&amp;sheet=A0&amp;row=663&amp;col=7&amp;number=&amp;sourceID=32","")</f>
        <v/>
      </c>
      <c r="H663" s="4" t="str">
        <f>HYPERLINK("http://141.218.60.56/~jnz1568/getInfo.php?workbook=10_02.xlsx&amp;sheet=A0&amp;row=663&amp;col=8&amp;number=&amp;sourceID=32","")</f>
        <v/>
      </c>
      <c r="I663" s="4" t="str">
        <f>HYPERLINK("http://141.218.60.56/~jnz1568/getInfo.php?workbook=10_02.xlsx&amp;sheet=A0&amp;row=663&amp;col=9&amp;number=&amp;sourceID=32","")</f>
        <v/>
      </c>
      <c r="J663" s="4" t="str">
        <f>HYPERLINK("http://141.218.60.56/~jnz1568/getInfo.php?workbook=10_02.xlsx&amp;sheet=A0&amp;row=663&amp;col=10&amp;number=1e-15&amp;sourceID=32","1e-15")</f>
        <v>1e-15</v>
      </c>
      <c r="K663" s="4" t="str">
        <f>HYPERLINK("http://141.218.60.56/~jnz1568/getInfo.php?workbook=10_02.xlsx&amp;sheet=A0&amp;row=663&amp;col=11&amp;number=&amp;sourceID=46","")</f>
        <v/>
      </c>
      <c r="L663" s="4" t="str">
        <f>HYPERLINK("http://141.218.60.56/~jnz1568/getInfo.php?workbook=10_02.xlsx&amp;sheet=A0&amp;row=663&amp;col=12&amp;number=&amp;sourceID=47","")</f>
        <v/>
      </c>
    </row>
    <row r="664" spans="1:12">
      <c r="A664" s="3">
        <v>10</v>
      </c>
      <c r="B664" s="3">
        <v>2</v>
      </c>
      <c r="C664" s="3">
        <v>40</v>
      </c>
      <c r="D664" s="3">
        <v>38</v>
      </c>
      <c r="E664" s="3">
        <f>((1/(INDEX(E0!J$4:J$52,C664,1)-INDEX(E0!J$4:J$52,D664,1))))*100000000</f>
        <v>0</v>
      </c>
      <c r="F664" s="4" t="str">
        <f>HYPERLINK("http://141.218.60.56/~jnz1568/getInfo.php?workbook=10_02.xlsx&amp;sheet=A0&amp;row=664&amp;col=6&amp;number=&amp;sourceID=27","")</f>
        <v/>
      </c>
      <c r="G664" s="4" t="str">
        <f>HYPERLINK("http://141.218.60.56/~jnz1568/getInfo.php?workbook=10_02.xlsx&amp;sheet=A0&amp;row=664&amp;col=7&amp;number=40.46&amp;sourceID=32","40.46")</f>
        <v>40.46</v>
      </c>
      <c r="H664" s="4" t="str">
        <f>HYPERLINK("http://141.218.60.56/~jnz1568/getInfo.php?workbook=10_02.xlsx&amp;sheet=A0&amp;row=664&amp;col=8&amp;number=&amp;sourceID=32","")</f>
        <v/>
      </c>
      <c r="I664" s="4" t="str">
        <f>HYPERLINK("http://141.218.60.56/~jnz1568/getInfo.php?workbook=10_02.xlsx&amp;sheet=A0&amp;row=664&amp;col=9&amp;number=&amp;sourceID=32","")</f>
        <v/>
      </c>
      <c r="J664" s="4" t="str">
        <f>HYPERLINK("http://141.218.60.56/~jnz1568/getInfo.php?workbook=10_02.xlsx&amp;sheet=A0&amp;row=664&amp;col=10&amp;number=4e-15&amp;sourceID=32","4e-15")</f>
        <v>4e-15</v>
      </c>
      <c r="K664" s="4" t="str">
        <f>HYPERLINK("http://141.218.60.56/~jnz1568/getInfo.php?workbook=10_02.xlsx&amp;sheet=A0&amp;row=664&amp;col=11&amp;number=&amp;sourceID=46","")</f>
        <v/>
      </c>
      <c r="L664" s="4" t="str">
        <f>HYPERLINK("http://141.218.60.56/~jnz1568/getInfo.php?workbook=10_02.xlsx&amp;sheet=A0&amp;row=664&amp;col=12&amp;number=&amp;sourceID=47","")</f>
        <v/>
      </c>
    </row>
    <row r="665" spans="1:12">
      <c r="A665" s="3">
        <v>10</v>
      </c>
      <c r="B665" s="3">
        <v>2</v>
      </c>
      <c r="C665" s="3">
        <v>40</v>
      </c>
      <c r="D665" s="3">
        <v>39</v>
      </c>
      <c r="E665" s="3">
        <f>((1/(INDEX(E0!J$4:J$52,C665,1)-INDEX(E0!J$4:J$52,D665,1))))*100000000</f>
        <v>0</v>
      </c>
      <c r="F665" s="4" t="str">
        <f>HYPERLINK("http://141.218.60.56/~jnz1568/getInfo.php?workbook=10_02.xlsx&amp;sheet=A0&amp;row=665&amp;col=6&amp;number=&amp;sourceID=27","")</f>
        <v/>
      </c>
      <c r="G665" s="4" t="str">
        <f>HYPERLINK("http://141.218.60.56/~jnz1568/getInfo.php?workbook=10_02.xlsx&amp;sheet=A0&amp;row=665&amp;col=7&amp;number=2.3&amp;sourceID=32","2.3")</f>
        <v>2.3</v>
      </c>
      <c r="H665" s="4" t="str">
        <f>HYPERLINK("http://141.218.60.56/~jnz1568/getInfo.php?workbook=10_02.xlsx&amp;sheet=A0&amp;row=665&amp;col=8&amp;number=&amp;sourceID=32","")</f>
        <v/>
      </c>
      <c r="I665" s="4" t="str">
        <f>HYPERLINK("http://141.218.60.56/~jnz1568/getInfo.php?workbook=10_02.xlsx&amp;sheet=A0&amp;row=665&amp;col=9&amp;number=&amp;sourceID=32","")</f>
        <v/>
      </c>
      <c r="J665" s="4" t="str">
        <f>HYPERLINK("http://141.218.60.56/~jnz1568/getInfo.php?workbook=10_02.xlsx&amp;sheet=A0&amp;row=665&amp;col=10&amp;number=0&amp;sourceID=32","0")</f>
        <v>0</v>
      </c>
      <c r="K665" s="4" t="str">
        <f>HYPERLINK("http://141.218.60.56/~jnz1568/getInfo.php?workbook=10_02.xlsx&amp;sheet=A0&amp;row=665&amp;col=11&amp;number=&amp;sourceID=46","")</f>
        <v/>
      </c>
      <c r="L665" s="4" t="str">
        <f>HYPERLINK("http://141.218.60.56/~jnz1568/getInfo.php?workbook=10_02.xlsx&amp;sheet=A0&amp;row=665&amp;col=12&amp;number=&amp;sourceID=47","")</f>
        <v/>
      </c>
    </row>
    <row r="666" spans="1:12">
      <c r="A666" s="3">
        <v>10</v>
      </c>
      <c r="B666" s="3">
        <v>2</v>
      </c>
      <c r="C666" s="3">
        <v>41</v>
      </c>
      <c r="D666" s="3">
        <v>1</v>
      </c>
      <c r="E666" s="3">
        <f>((1/(INDEX(E0!J$4:J$52,C666,1)-INDEX(E0!J$4:J$52,D666,1))))*100000000</f>
        <v>0</v>
      </c>
      <c r="F666" s="4" t="str">
        <f>HYPERLINK("http://141.218.60.56/~jnz1568/getInfo.php?workbook=10_02.xlsx&amp;sheet=A0&amp;row=666&amp;col=6&amp;number=&amp;sourceID=27","")</f>
        <v/>
      </c>
      <c r="G666" s="4" t="str">
        <f>HYPERLINK("http://141.218.60.56/~jnz1568/getInfo.php?workbook=10_02.xlsx&amp;sheet=A0&amp;row=666&amp;col=7&amp;number=&amp;sourceID=32","")</f>
        <v/>
      </c>
      <c r="H666" s="4" t="str">
        <f>HYPERLINK("http://141.218.60.56/~jnz1568/getInfo.php?workbook=10_02.xlsx&amp;sheet=A0&amp;row=666&amp;col=8&amp;number=&amp;sourceID=32","")</f>
        <v/>
      </c>
      <c r="I666" s="4" t="str">
        <f>HYPERLINK("http://141.218.60.56/~jnz1568/getInfo.php?workbook=10_02.xlsx&amp;sheet=A0&amp;row=666&amp;col=9&amp;number=&amp;sourceID=32","")</f>
        <v/>
      </c>
      <c r="J666" s="4" t="str">
        <f>HYPERLINK("http://141.218.60.56/~jnz1568/getInfo.php?workbook=10_02.xlsx&amp;sheet=A0&amp;row=666&amp;col=10&amp;number=0.002379&amp;sourceID=32","0.002379")</f>
        <v>0.002379</v>
      </c>
      <c r="K666" s="4" t="str">
        <f>HYPERLINK("http://141.218.60.56/~jnz1568/getInfo.php?workbook=10_02.xlsx&amp;sheet=A0&amp;row=666&amp;col=11&amp;number=&amp;sourceID=46","")</f>
        <v/>
      </c>
      <c r="L666" s="4" t="str">
        <f>HYPERLINK("http://141.218.60.56/~jnz1568/getInfo.php?workbook=10_02.xlsx&amp;sheet=A0&amp;row=666&amp;col=12&amp;number=&amp;sourceID=47","")</f>
        <v/>
      </c>
    </row>
    <row r="667" spans="1:12">
      <c r="A667" s="3">
        <v>10</v>
      </c>
      <c r="B667" s="3">
        <v>2</v>
      </c>
      <c r="C667" s="3">
        <v>41</v>
      </c>
      <c r="D667" s="3">
        <v>2</v>
      </c>
      <c r="E667" s="3">
        <f>((1/(INDEX(E0!J$4:J$52,C667,1)-INDEX(E0!J$4:J$52,D667,1))))*100000000</f>
        <v>0</v>
      </c>
      <c r="F667" s="4" t="str">
        <f>HYPERLINK("http://141.218.60.56/~jnz1568/getInfo.php?workbook=10_02.xlsx&amp;sheet=A0&amp;row=667&amp;col=6&amp;number=&amp;sourceID=27","")</f>
        <v/>
      </c>
      <c r="G667" s="4" t="str">
        <f>HYPERLINK("http://141.218.60.56/~jnz1568/getInfo.php?workbook=10_02.xlsx&amp;sheet=A0&amp;row=667&amp;col=7&amp;number=18.93&amp;sourceID=32","18.93")</f>
        <v>18.93</v>
      </c>
      <c r="H667" s="4" t="str">
        <f>HYPERLINK("http://141.218.60.56/~jnz1568/getInfo.php?workbook=10_02.xlsx&amp;sheet=A0&amp;row=667&amp;col=8&amp;number=&amp;sourceID=32","")</f>
        <v/>
      </c>
      <c r="I667" s="4" t="str">
        <f>HYPERLINK("http://141.218.60.56/~jnz1568/getInfo.php?workbook=10_02.xlsx&amp;sheet=A0&amp;row=667&amp;col=9&amp;number=&amp;sourceID=32","")</f>
        <v/>
      </c>
      <c r="J667" s="4" t="str">
        <f>HYPERLINK("http://141.218.60.56/~jnz1568/getInfo.php?workbook=10_02.xlsx&amp;sheet=A0&amp;row=667&amp;col=10&amp;number=2.7e-05&amp;sourceID=32","2.7e-05")</f>
        <v>2.7e-05</v>
      </c>
      <c r="K667" s="4" t="str">
        <f>HYPERLINK("http://141.218.60.56/~jnz1568/getInfo.php?workbook=10_02.xlsx&amp;sheet=A0&amp;row=667&amp;col=11&amp;number=4039.6&amp;sourceID=46","4039.6")</f>
        <v>4039.6</v>
      </c>
      <c r="L667" s="4" t="str">
        <f>HYPERLINK("http://141.218.60.56/~jnz1568/getInfo.php?workbook=10_02.xlsx&amp;sheet=A0&amp;row=667&amp;col=12&amp;number=&amp;sourceID=47","")</f>
        <v/>
      </c>
    </row>
    <row r="668" spans="1:12">
      <c r="A668" s="3">
        <v>10</v>
      </c>
      <c r="B668" s="3">
        <v>2</v>
      </c>
      <c r="C668" s="3">
        <v>41</v>
      </c>
      <c r="D668" s="3">
        <v>3</v>
      </c>
      <c r="E668" s="3">
        <f>((1/(INDEX(E0!J$4:J$52,C668,1)-INDEX(E0!J$4:J$52,D668,1))))*100000000</f>
        <v>0</v>
      </c>
      <c r="F668" s="4" t="str">
        <f>HYPERLINK("http://141.218.60.56/~jnz1568/getInfo.php?workbook=10_02.xlsx&amp;sheet=A0&amp;row=668&amp;col=6&amp;number=&amp;sourceID=27","")</f>
        <v/>
      </c>
      <c r="G668" s="4" t="str">
        <f>HYPERLINK("http://141.218.60.56/~jnz1568/getInfo.php?workbook=10_02.xlsx&amp;sheet=A0&amp;row=668&amp;col=7&amp;number=&amp;sourceID=32","")</f>
        <v/>
      </c>
      <c r="H668" s="4" t="str">
        <f>HYPERLINK("http://141.218.60.56/~jnz1568/getInfo.php?workbook=10_02.xlsx&amp;sheet=A0&amp;row=668&amp;col=8&amp;number=10370000&amp;sourceID=32","10370000")</f>
        <v>10370000</v>
      </c>
      <c r="I668" s="4" t="str">
        <f>HYPERLINK("http://141.218.60.56/~jnz1568/getInfo.php?workbook=10_02.xlsx&amp;sheet=A0&amp;row=668&amp;col=9&amp;number=&amp;sourceID=32","")</f>
        <v/>
      </c>
      <c r="J668" s="4" t="str">
        <f>HYPERLINK("http://141.218.60.56/~jnz1568/getInfo.php?workbook=10_02.xlsx&amp;sheet=A0&amp;row=668&amp;col=10&amp;number=&amp;sourceID=32","")</f>
        <v/>
      </c>
      <c r="K668" s="4" t="str">
        <f>HYPERLINK("http://141.218.60.56/~jnz1568/getInfo.php?workbook=10_02.xlsx&amp;sheet=A0&amp;row=668&amp;col=11&amp;number=10452000&amp;sourceID=46","10452000")</f>
        <v>10452000</v>
      </c>
      <c r="L668" s="4" t="str">
        <f>HYPERLINK("http://141.218.60.56/~jnz1568/getInfo.php?workbook=10_02.xlsx&amp;sheet=A0&amp;row=668&amp;col=12&amp;number=&amp;sourceID=47","")</f>
        <v/>
      </c>
    </row>
    <row r="669" spans="1:12">
      <c r="A669" s="3">
        <v>10</v>
      </c>
      <c r="B669" s="3">
        <v>2</v>
      </c>
      <c r="C669" s="3">
        <v>41</v>
      </c>
      <c r="D669" s="3">
        <v>4</v>
      </c>
      <c r="E669" s="3">
        <f>((1/(INDEX(E0!J$4:J$52,C669,1)-INDEX(E0!J$4:J$52,D669,1))))*100000000</f>
        <v>0</v>
      </c>
      <c r="F669" s="4" t="str">
        <f>HYPERLINK("http://141.218.60.56/~jnz1568/getInfo.php?workbook=10_02.xlsx&amp;sheet=A0&amp;row=669&amp;col=6&amp;number=&amp;sourceID=27","")</f>
        <v/>
      </c>
      <c r="G669" s="4" t="str">
        <f>HYPERLINK("http://141.218.60.56/~jnz1568/getInfo.php?workbook=10_02.xlsx&amp;sheet=A0&amp;row=669&amp;col=7&amp;number=&amp;sourceID=32","")</f>
        <v/>
      </c>
      <c r="H669" s="4" t="str">
        <f>HYPERLINK("http://141.218.60.56/~jnz1568/getInfo.php?workbook=10_02.xlsx&amp;sheet=A0&amp;row=669&amp;col=8&amp;number=10360000&amp;sourceID=32","10360000")</f>
        <v>10360000</v>
      </c>
      <c r="I669" s="4" t="str">
        <f>HYPERLINK("http://141.218.60.56/~jnz1568/getInfo.php?workbook=10_02.xlsx&amp;sheet=A0&amp;row=669&amp;col=9&amp;number=0.05874&amp;sourceID=32","0.05874")</f>
        <v>0.05874</v>
      </c>
      <c r="J669" s="4" t="str">
        <f>HYPERLINK("http://141.218.60.56/~jnz1568/getInfo.php?workbook=10_02.xlsx&amp;sheet=A0&amp;row=669&amp;col=10&amp;number=&amp;sourceID=32","")</f>
        <v/>
      </c>
      <c r="K669" s="4" t="str">
        <f>HYPERLINK("http://141.218.60.56/~jnz1568/getInfo.php?workbook=10_02.xlsx&amp;sheet=A0&amp;row=669&amp;col=11&amp;number=10475000&amp;sourceID=46","10475000")</f>
        <v>10475000</v>
      </c>
      <c r="L669" s="4" t="str">
        <f>HYPERLINK("http://141.218.60.56/~jnz1568/getInfo.php?workbook=10_02.xlsx&amp;sheet=A0&amp;row=669&amp;col=12&amp;number=&amp;sourceID=47","")</f>
        <v/>
      </c>
    </row>
    <row r="670" spans="1:12">
      <c r="A670" s="3">
        <v>10</v>
      </c>
      <c r="B670" s="3">
        <v>2</v>
      </c>
      <c r="C670" s="3">
        <v>41</v>
      </c>
      <c r="D670" s="3">
        <v>5</v>
      </c>
      <c r="E670" s="3">
        <f>((1/(INDEX(E0!J$4:J$52,C670,1)-INDEX(E0!J$4:J$52,D670,1))))*100000000</f>
        <v>0</v>
      </c>
      <c r="F670" s="4" t="str">
        <f>HYPERLINK("http://141.218.60.56/~jnz1568/getInfo.php?workbook=10_02.xlsx&amp;sheet=A0&amp;row=670&amp;col=6&amp;number=&amp;sourceID=27","")</f>
        <v/>
      </c>
      <c r="G670" s="4" t="str">
        <f>HYPERLINK("http://141.218.60.56/~jnz1568/getInfo.php?workbook=10_02.xlsx&amp;sheet=A0&amp;row=670&amp;col=7&amp;number=&amp;sourceID=32","")</f>
        <v/>
      </c>
      <c r="H670" s="4" t="str">
        <f>HYPERLINK("http://141.218.60.56/~jnz1568/getInfo.php?workbook=10_02.xlsx&amp;sheet=A0&amp;row=670&amp;col=8&amp;number=1481000&amp;sourceID=32","1481000")</f>
        <v>1481000</v>
      </c>
      <c r="I670" s="4" t="str">
        <f>HYPERLINK("http://141.218.60.56/~jnz1568/getInfo.php?workbook=10_02.xlsx&amp;sheet=A0&amp;row=670&amp;col=9&amp;number=0.03651&amp;sourceID=32","0.03651")</f>
        <v>0.03651</v>
      </c>
      <c r="J670" s="4" t="str">
        <f>HYPERLINK("http://141.218.60.56/~jnz1568/getInfo.php?workbook=10_02.xlsx&amp;sheet=A0&amp;row=670&amp;col=10&amp;number=&amp;sourceID=32","")</f>
        <v/>
      </c>
      <c r="K670" s="4" t="str">
        <f>HYPERLINK("http://141.218.60.56/~jnz1568/getInfo.php?workbook=10_02.xlsx&amp;sheet=A0&amp;row=670&amp;col=11&amp;number=1504300&amp;sourceID=46","1504300")</f>
        <v>1504300</v>
      </c>
      <c r="L670" s="4" t="str">
        <f>HYPERLINK("http://141.218.60.56/~jnz1568/getInfo.php?workbook=10_02.xlsx&amp;sheet=A0&amp;row=670&amp;col=12&amp;number=&amp;sourceID=47","")</f>
        <v/>
      </c>
    </row>
    <row r="671" spans="1:12">
      <c r="A671" s="3">
        <v>10</v>
      </c>
      <c r="B671" s="3">
        <v>2</v>
      </c>
      <c r="C671" s="3">
        <v>41</v>
      </c>
      <c r="D671" s="3">
        <v>6</v>
      </c>
      <c r="E671" s="3">
        <f>((1/(INDEX(E0!J$4:J$52,C671,1)-INDEX(E0!J$4:J$52,D671,1))))*100000000</f>
        <v>0</v>
      </c>
      <c r="F671" s="4" t="str">
        <f>HYPERLINK("http://141.218.60.56/~jnz1568/getInfo.php?workbook=10_02.xlsx&amp;sheet=A0&amp;row=671&amp;col=6&amp;number=&amp;sourceID=27","")</f>
        <v/>
      </c>
      <c r="G671" s="4" t="str">
        <f>HYPERLINK("http://141.218.60.56/~jnz1568/getInfo.php?workbook=10_02.xlsx&amp;sheet=A0&amp;row=671&amp;col=7&amp;number=&amp;sourceID=32","")</f>
        <v/>
      </c>
      <c r="H671" s="4" t="str">
        <f>HYPERLINK("http://141.218.60.56/~jnz1568/getInfo.php?workbook=10_02.xlsx&amp;sheet=A0&amp;row=671&amp;col=8&amp;number=&amp;sourceID=32","")</f>
        <v/>
      </c>
      <c r="I671" s="4" t="str">
        <f>HYPERLINK("http://141.218.60.56/~jnz1568/getInfo.php?workbook=10_02.xlsx&amp;sheet=A0&amp;row=671&amp;col=9&amp;number=&amp;sourceID=32","")</f>
        <v/>
      </c>
      <c r="J671" s="4" t="str">
        <f>HYPERLINK("http://141.218.60.56/~jnz1568/getInfo.php?workbook=10_02.xlsx&amp;sheet=A0&amp;row=671&amp;col=10&amp;number=4.362e-06&amp;sourceID=32","4.362e-06")</f>
        <v>4.362e-06</v>
      </c>
      <c r="K671" s="4" t="str">
        <f>HYPERLINK("http://141.218.60.56/~jnz1568/getInfo.php?workbook=10_02.xlsx&amp;sheet=A0&amp;row=671&amp;col=11&amp;number=&amp;sourceID=46","")</f>
        <v/>
      </c>
      <c r="L671" s="4" t="str">
        <f>HYPERLINK("http://141.218.60.56/~jnz1568/getInfo.php?workbook=10_02.xlsx&amp;sheet=A0&amp;row=671&amp;col=12&amp;number=&amp;sourceID=47","")</f>
        <v/>
      </c>
    </row>
    <row r="672" spans="1:12">
      <c r="A672" s="3">
        <v>10</v>
      </c>
      <c r="B672" s="3">
        <v>2</v>
      </c>
      <c r="C672" s="3">
        <v>41</v>
      </c>
      <c r="D672" s="3">
        <v>7</v>
      </c>
      <c r="E672" s="3">
        <f>((1/(INDEX(E0!J$4:J$52,C672,1)-INDEX(E0!J$4:J$52,D672,1))))*100000000</f>
        <v>0</v>
      </c>
      <c r="F672" s="4" t="str">
        <f>HYPERLINK("http://141.218.60.56/~jnz1568/getInfo.php?workbook=10_02.xlsx&amp;sheet=A0&amp;row=672&amp;col=6&amp;number=&amp;sourceID=27","")</f>
        <v/>
      </c>
      <c r="G672" s="4" t="str">
        <f>HYPERLINK("http://141.218.60.56/~jnz1568/getInfo.php?workbook=10_02.xlsx&amp;sheet=A0&amp;row=672&amp;col=7&amp;number=&amp;sourceID=32","")</f>
        <v/>
      </c>
      <c r="H672" s="4" t="str">
        <f>HYPERLINK("http://141.218.60.56/~jnz1568/getInfo.php?workbook=10_02.xlsx&amp;sheet=A0&amp;row=672&amp;col=8&amp;number=5789&amp;sourceID=32","5789")</f>
        <v>5789</v>
      </c>
      <c r="I672" s="4" t="str">
        <f>HYPERLINK("http://141.218.60.56/~jnz1568/getInfo.php?workbook=10_02.xlsx&amp;sheet=A0&amp;row=672&amp;col=9&amp;number=0.1071&amp;sourceID=32","0.1071")</f>
        <v>0.1071</v>
      </c>
      <c r="J672" s="4" t="str">
        <f>HYPERLINK("http://141.218.60.56/~jnz1568/getInfo.php?workbook=10_02.xlsx&amp;sheet=A0&amp;row=672&amp;col=10&amp;number=&amp;sourceID=32","")</f>
        <v/>
      </c>
      <c r="K672" s="4" t="str">
        <f>HYPERLINK("http://141.218.60.56/~jnz1568/getInfo.php?workbook=10_02.xlsx&amp;sheet=A0&amp;row=672&amp;col=11&amp;number=5018.2&amp;sourceID=46","5018.2")</f>
        <v>5018.2</v>
      </c>
      <c r="L672" s="4" t="str">
        <f>HYPERLINK("http://141.218.60.56/~jnz1568/getInfo.php?workbook=10_02.xlsx&amp;sheet=A0&amp;row=672&amp;col=12&amp;number=&amp;sourceID=47","")</f>
        <v/>
      </c>
    </row>
    <row r="673" spans="1:12">
      <c r="A673" s="3">
        <v>10</v>
      </c>
      <c r="B673" s="3">
        <v>2</v>
      </c>
      <c r="C673" s="3">
        <v>41</v>
      </c>
      <c r="D673" s="3">
        <v>8</v>
      </c>
      <c r="E673" s="3">
        <f>((1/(INDEX(E0!J$4:J$52,C673,1)-INDEX(E0!J$4:J$52,D673,1))))*100000000</f>
        <v>0</v>
      </c>
      <c r="F673" s="4" t="str">
        <f>HYPERLINK("http://141.218.60.56/~jnz1568/getInfo.php?workbook=10_02.xlsx&amp;sheet=A0&amp;row=673&amp;col=6&amp;number=&amp;sourceID=27","")</f>
        <v/>
      </c>
      <c r="G673" s="4" t="str">
        <f>HYPERLINK("http://141.218.60.56/~jnz1568/getInfo.php?workbook=10_02.xlsx&amp;sheet=A0&amp;row=673&amp;col=7&amp;number=1090&amp;sourceID=32","1090")</f>
        <v>1090</v>
      </c>
      <c r="H673" s="4" t="str">
        <f>HYPERLINK("http://141.218.60.56/~jnz1568/getInfo.php?workbook=10_02.xlsx&amp;sheet=A0&amp;row=673&amp;col=8&amp;number=&amp;sourceID=32","")</f>
        <v/>
      </c>
      <c r="I673" s="4" t="str">
        <f>HYPERLINK("http://141.218.60.56/~jnz1568/getInfo.php?workbook=10_02.xlsx&amp;sheet=A0&amp;row=673&amp;col=9&amp;number=&amp;sourceID=32","")</f>
        <v/>
      </c>
      <c r="J673" s="4" t="str">
        <f>HYPERLINK("http://141.218.60.56/~jnz1568/getInfo.php?workbook=10_02.xlsx&amp;sheet=A0&amp;row=673&amp;col=10&amp;number=1.029e-06&amp;sourceID=32","1.029e-06")</f>
        <v>1.029e-06</v>
      </c>
      <c r="K673" s="4" t="str">
        <f>HYPERLINK("http://141.218.60.56/~jnz1568/getInfo.php?workbook=10_02.xlsx&amp;sheet=A0&amp;row=673&amp;col=11&amp;number=787.46&amp;sourceID=46","787.46")</f>
        <v>787.46</v>
      </c>
      <c r="L673" s="4" t="str">
        <f>HYPERLINK("http://141.218.60.56/~jnz1568/getInfo.php?workbook=10_02.xlsx&amp;sheet=A0&amp;row=673&amp;col=12&amp;number=&amp;sourceID=47","")</f>
        <v/>
      </c>
    </row>
    <row r="674" spans="1:12">
      <c r="A674" s="3">
        <v>10</v>
      </c>
      <c r="B674" s="3">
        <v>2</v>
      </c>
      <c r="C674" s="3">
        <v>41</v>
      </c>
      <c r="D674" s="3">
        <v>9</v>
      </c>
      <c r="E674" s="3">
        <f>((1/(INDEX(E0!J$4:J$52,C674,1)-INDEX(E0!J$4:J$52,D674,1))))*100000000</f>
        <v>0</v>
      </c>
      <c r="F674" s="4" t="str">
        <f>HYPERLINK("http://141.218.60.56/~jnz1568/getInfo.php?workbook=10_02.xlsx&amp;sheet=A0&amp;row=674&amp;col=6&amp;number=&amp;sourceID=27","")</f>
        <v/>
      </c>
      <c r="G674" s="4" t="str">
        <f>HYPERLINK("http://141.218.60.56/~jnz1568/getInfo.php?workbook=10_02.xlsx&amp;sheet=A0&amp;row=674&amp;col=7&amp;number=&amp;sourceID=32","")</f>
        <v/>
      </c>
      <c r="H674" s="4" t="str">
        <f>HYPERLINK("http://141.218.60.56/~jnz1568/getInfo.php?workbook=10_02.xlsx&amp;sheet=A0&amp;row=674&amp;col=8&amp;number=18450&amp;sourceID=32","18450")</f>
        <v>18450</v>
      </c>
      <c r="I674" s="4" t="str">
        <f>HYPERLINK("http://141.218.60.56/~jnz1568/getInfo.php?workbook=10_02.xlsx&amp;sheet=A0&amp;row=674&amp;col=9&amp;number=&amp;sourceID=32","")</f>
        <v/>
      </c>
      <c r="J674" s="4" t="str">
        <f>HYPERLINK("http://141.218.60.56/~jnz1568/getInfo.php?workbook=10_02.xlsx&amp;sheet=A0&amp;row=674&amp;col=10&amp;number=&amp;sourceID=32","")</f>
        <v/>
      </c>
      <c r="K674" s="4" t="str">
        <f>HYPERLINK("http://141.218.60.56/~jnz1568/getInfo.php?workbook=10_02.xlsx&amp;sheet=A0&amp;row=674&amp;col=11&amp;number=18868&amp;sourceID=46","18868")</f>
        <v>18868</v>
      </c>
      <c r="L674" s="4" t="str">
        <f>HYPERLINK("http://141.218.60.56/~jnz1568/getInfo.php?workbook=10_02.xlsx&amp;sheet=A0&amp;row=674&amp;col=12&amp;number=&amp;sourceID=47","")</f>
        <v/>
      </c>
    </row>
    <row r="675" spans="1:12">
      <c r="A675" s="3">
        <v>10</v>
      </c>
      <c r="B675" s="3">
        <v>2</v>
      </c>
      <c r="C675" s="3">
        <v>41</v>
      </c>
      <c r="D675" s="3">
        <v>10</v>
      </c>
      <c r="E675" s="3">
        <f>((1/(INDEX(E0!J$4:J$52,C675,1)-INDEX(E0!J$4:J$52,D675,1))))*100000000</f>
        <v>0</v>
      </c>
      <c r="F675" s="4" t="str">
        <f>HYPERLINK("http://141.218.60.56/~jnz1568/getInfo.php?workbook=10_02.xlsx&amp;sheet=A0&amp;row=675&amp;col=6&amp;number=&amp;sourceID=27","")</f>
        <v/>
      </c>
      <c r="G675" s="4" t="str">
        <f>HYPERLINK("http://141.218.60.56/~jnz1568/getInfo.php?workbook=10_02.xlsx&amp;sheet=A0&amp;row=675&amp;col=7&amp;number=&amp;sourceID=32","")</f>
        <v/>
      </c>
      <c r="H675" s="4" t="str">
        <f>HYPERLINK("http://141.218.60.56/~jnz1568/getInfo.php?workbook=10_02.xlsx&amp;sheet=A0&amp;row=675&amp;col=8&amp;number=18340&amp;sourceID=32","18340")</f>
        <v>18340</v>
      </c>
      <c r="I675" s="4" t="str">
        <f>HYPERLINK("http://141.218.60.56/~jnz1568/getInfo.php?workbook=10_02.xlsx&amp;sheet=A0&amp;row=675&amp;col=9&amp;number=0.001317&amp;sourceID=32","0.001317")</f>
        <v>0.001317</v>
      </c>
      <c r="J675" s="4" t="str">
        <f>HYPERLINK("http://141.218.60.56/~jnz1568/getInfo.php?workbook=10_02.xlsx&amp;sheet=A0&amp;row=675&amp;col=10&amp;number=&amp;sourceID=32","")</f>
        <v/>
      </c>
      <c r="K675" s="4" t="str">
        <f>HYPERLINK("http://141.218.60.56/~jnz1568/getInfo.php?workbook=10_02.xlsx&amp;sheet=A0&amp;row=675&amp;col=11&amp;number=18641&amp;sourceID=46","18641")</f>
        <v>18641</v>
      </c>
      <c r="L675" s="4" t="str">
        <f>HYPERLINK("http://141.218.60.56/~jnz1568/getInfo.php?workbook=10_02.xlsx&amp;sheet=A0&amp;row=675&amp;col=12&amp;number=&amp;sourceID=47","")</f>
        <v/>
      </c>
    </row>
    <row r="676" spans="1:12">
      <c r="A676" s="3">
        <v>10</v>
      </c>
      <c r="B676" s="3">
        <v>2</v>
      </c>
      <c r="C676" s="3">
        <v>41</v>
      </c>
      <c r="D676" s="3">
        <v>11</v>
      </c>
      <c r="E676" s="3">
        <f>((1/(INDEX(E0!J$4:J$52,C676,1)-INDEX(E0!J$4:J$52,D676,1))))*100000000</f>
        <v>0</v>
      </c>
      <c r="F676" s="4" t="str">
        <f>HYPERLINK("http://141.218.60.56/~jnz1568/getInfo.php?workbook=10_02.xlsx&amp;sheet=A0&amp;row=676&amp;col=6&amp;number=&amp;sourceID=27","")</f>
        <v/>
      </c>
      <c r="G676" s="4" t="str">
        <f>HYPERLINK("http://141.218.60.56/~jnz1568/getInfo.php?workbook=10_02.xlsx&amp;sheet=A0&amp;row=676&amp;col=7&amp;number=&amp;sourceID=32","")</f>
        <v/>
      </c>
      <c r="H676" s="4" t="str">
        <f>HYPERLINK("http://141.218.60.56/~jnz1568/getInfo.php?workbook=10_02.xlsx&amp;sheet=A0&amp;row=676&amp;col=8&amp;number=&amp;sourceID=32","")</f>
        <v/>
      </c>
      <c r="I676" s="4" t="str">
        <f>HYPERLINK("http://141.218.60.56/~jnz1568/getInfo.php?workbook=10_02.xlsx&amp;sheet=A0&amp;row=676&amp;col=9&amp;number=&amp;sourceID=32","")</f>
        <v/>
      </c>
      <c r="J676" s="4" t="str">
        <f>HYPERLINK("http://141.218.60.56/~jnz1568/getInfo.php?workbook=10_02.xlsx&amp;sheet=A0&amp;row=676&amp;col=10&amp;number=2.155e-07&amp;sourceID=32","2.155e-07")</f>
        <v>2.155e-07</v>
      </c>
      <c r="K676" s="4" t="str">
        <f>HYPERLINK("http://141.218.60.56/~jnz1568/getInfo.php?workbook=10_02.xlsx&amp;sheet=A0&amp;row=676&amp;col=11&amp;number=&amp;sourceID=46","")</f>
        <v/>
      </c>
      <c r="L676" s="4" t="str">
        <f>HYPERLINK("http://141.218.60.56/~jnz1568/getInfo.php?workbook=10_02.xlsx&amp;sheet=A0&amp;row=676&amp;col=12&amp;number=&amp;sourceID=47","")</f>
        <v/>
      </c>
    </row>
    <row r="677" spans="1:12">
      <c r="A677" s="3">
        <v>10</v>
      </c>
      <c r="B677" s="3">
        <v>2</v>
      </c>
      <c r="C677" s="3">
        <v>41</v>
      </c>
      <c r="D677" s="3">
        <v>12</v>
      </c>
      <c r="E677" s="3">
        <f>((1/(INDEX(E0!J$4:J$52,C677,1)-INDEX(E0!J$4:J$52,D677,1))))*100000000</f>
        <v>0</v>
      </c>
      <c r="F677" s="4" t="str">
        <f>HYPERLINK("http://141.218.60.56/~jnz1568/getInfo.php?workbook=10_02.xlsx&amp;sheet=A0&amp;row=677&amp;col=6&amp;number=&amp;sourceID=27","")</f>
        <v/>
      </c>
      <c r="G677" s="4" t="str">
        <f>HYPERLINK("http://141.218.60.56/~jnz1568/getInfo.php?workbook=10_02.xlsx&amp;sheet=A0&amp;row=677&amp;col=7&amp;number=&amp;sourceID=32","")</f>
        <v/>
      </c>
      <c r="H677" s="4" t="str">
        <f>HYPERLINK("http://141.218.60.56/~jnz1568/getInfo.php?workbook=10_02.xlsx&amp;sheet=A0&amp;row=677&amp;col=8&amp;number=2539&amp;sourceID=32","2539")</f>
        <v>2539</v>
      </c>
      <c r="I677" s="4" t="str">
        <f>HYPERLINK("http://141.218.60.56/~jnz1568/getInfo.php?workbook=10_02.xlsx&amp;sheet=A0&amp;row=677&amp;col=9&amp;number=0.0007624&amp;sourceID=32","0.0007624")</f>
        <v>0.0007624</v>
      </c>
      <c r="J677" s="4" t="str">
        <f>HYPERLINK("http://141.218.60.56/~jnz1568/getInfo.php?workbook=10_02.xlsx&amp;sheet=A0&amp;row=677&amp;col=10&amp;number=&amp;sourceID=32","")</f>
        <v/>
      </c>
      <c r="K677" s="4" t="str">
        <f>HYPERLINK("http://141.218.60.56/~jnz1568/getInfo.php?workbook=10_02.xlsx&amp;sheet=A0&amp;row=677&amp;col=11&amp;number=2545.7&amp;sourceID=46","2545.7")</f>
        <v>2545.7</v>
      </c>
      <c r="L677" s="4" t="str">
        <f>HYPERLINK("http://141.218.60.56/~jnz1568/getInfo.php?workbook=10_02.xlsx&amp;sheet=A0&amp;row=677&amp;col=12&amp;number=&amp;sourceID=47","")</f>
        <v/>
      </c>
    </row>
    <row r="678" spans="1:12">
      <c r="A678" s="3">
        <v>10</v>
      </c>
      <c r="B678" s="3">
        <v>2</v>
      </c>
      <c r="C678" s="3">
        <v>41</v>
      </c>
      <c r="D678" s="3">
        <v>13</v>
      </c>
      <c r="E678" s="3">
        <f>((1/(INDEX(E0!J$4:J$52,C678,1)-INDEX(E0!J$4:J$52,D678,1))))*100000000</f>
        <v>0</v>
      </c>
      <c r="F678" s="4" t="str">
        <f>HYPERLINK("http://141.218.60.56/~jnz1568/getInfo.php?workbook=10_02.xlsx&amp;sheet=A0&amp;row=678&amp;col=6&amp;number=&amp;sourceID=27","")</f>
        <v/>
      </c>
      <c r="G678" s="4" t="str">
        <f>HYPERLINK("http://141.218.60.56/~jnz1568/getInfo.php?workbook=10_02.xlsx&amp;sheet=A0&amp;row=678&amp;col=7&amp;number=25120000000&amp;sourceID=32","25120000000")</f>
        <v>25120000000</v>
      </c>
      <c r="H678" s="4" t="str">
        <f>HYPERLINK("http://141.218.60.56/~jnz1568/getInfo.php?workbook=10_02.xlsx&amp;sheet=A0&amp;row=678&amp;col=8&amp;number=&amp;sourceID=32","")</f>
        <v/>
      </c>
      <c r="I678" s="4" t="str">
        <f>HYPERLINK("http://141.218.60.56/~jnz1568/getInfo.php?workbook=10_02.xlsx&amp;sheet=A0&amp;row=678&amp;col=9&amp;number=&amp;sourceID=32","")</f>
        <v/>
      </c>
      <c r="J678" s="4" t="str">
        <f>HYPERLINK("http://141.218.60.56/~jnz1568/getInfo.php?workbook=10_02.xlsx&amp;sheet=A0&amp;row=678&amp;col=10&amp;number=20.58&amp;sourceID=32","20.58")</f>
        <v>20.58</v>
      </c>
      <c r="K678" s="4" t="str">
        <f>HYPERLINK("http://141.218.60.56/~jnz1568/getInfo.php?workbook=10_02.xlsx&amp;sheet=A0&amp;row=678&amp;col=11&amp;number=25136000000&amp;sourceID=46","25136000000")</f>
        <v>25136000000</v>
      </c>
      <c r="L678" s="4" t="str">
        <f>HYPERLINK("http://141.218.60.56/~jnz1568/getInfo.php?workbook=10_02.xlsx&amp;sheet=A0&amp;row=678&amp;col=12&amp;number=&amp;sourceID=47","")</f>
        <v/>
      </c>
    </row>
    <row r="679" spans="1:12">
      <c r="A679" s="3">
        <v>10</v>
      </c>
      <c r="B679" s="3">
        <v>2</v>
      </c>
      <c r="C679" s="3">
        <v>41</v>
      </c>
      <c r="D679" s="3">
        <v>14</v>
      </c>
      <c r="E679" s="3">
        <f>((1/(INDEX(E0!J$4:J$52,C679,1)-INDEX(E0!J$4:J$52,D679,1))))*100000000</f>
        <v>0</v>
      </c>
      <c r="F679" s="4" t="str">
        <f>HYPERLINK("http://141.218.60.56/~jnz1568/getInfo.php?workbook=10_02.xlsx&amp;sheet=A0&amp;row=679&amp;col=6&amp;number=&amp;sourceID=27","")</f>
        <v/>
      </c>
      <c r="G679" s="4" t="str">
        <f>HYPERLINK("http://141.218.60.56/~jnz1568/getInfo.php?workbook=10_02.xlsx&amp;sheet=A0&amp;row=679&amp;col=7&amp;number=4452000000&amp;sourceID=32","4452000000")</f>
        <v>4452000000</v>
      </c>
      <c r="H679" s="4" t="str">
        <f>HYPERLINK("http://141.218.60.56/~jnz1568/getInfo.php?workbook=10_02.xlsx&amp;sheet=A0&amp;row=679&amp;col=8&amp;number=&amp;sourceID=32","")</f>
        <v/>
      </c>
      <c r="I679" s="4" t="str">
        <f>HYPERLINK("http://141.218.60.56/~jnz1568/getInfo.php?workbook=10_02.xlsx&amp;sheet=A0&amp;row=679&amp;col=9&amp;number=&amp;sourceID=32","")</f>
        <v/>
      </c>
      <c r="J679" s="4" t="str">
        <f>HYPERLINK("http://141.218.60.56/~jnz1568/getInfo.php?workbook=10_02.xlsx&amp;sheet=A0&amp;row=679&amp;col=10&amp;number=6.967&amp;sourceID=32","6.967")</f>
        <v>6.967</v>
      </c>
      <c r="K679" s="4" t="str">
        <f>HYPERLINK("http://141.218.60.56/~jnz1568/getInfo.php?workbook=10_02.xlsx&amp;sheet=A0&amp;row=679&amp;col=11&amp;number=4527100000&amp;sourceID=46","4527100000")</f>
        <v>4527100000</v>
      </c>
      <c r="L679" s="4" t="str">
        <f>HYPERLINK("http://141.218.60.56/~jnz1568/getInfo.php?workbook=10_02.xlsx&amp;sheet=A0&amp;row=679&amp;col=12&amp;number=&amp;sourceID=47","")</f>
        <v/>
      </c>
    </row>
    <row r="680" spans="1:12">
      <c r="A680" s="3">
        <v>10</v>
      </c>
      <c r="B680" s="3">
        <v>2</v>
      </c>
      <c r="C680" s="3">
        <v>41</v>
      </c>
      <c r="D680" s="3">
        <v>15</v>
      </c>
      <c r="E680" s="3">
        <f>((1/(INDEX(E0!J$4:J$52,C680,1)-INDEX(E0!J$4:J$52,D680,1))))*100000000</f>
        <v>0</v>
      </c>
      <c r="F680" s="4" t="str">
        <f>HYPERLINK("http://141.218.60.56/~jnz1568/getInfo.php?workbook=10_02.xlsx&amp;sheet=A0&amp;row=680&amp;col=6&amp;number=&amp;sourceID=27","")</f>
        <v/>
      </c>
      <c r="G680" s="4" t="str">
        <f>HYPERLINK("http://141.218.60.56/~jnz1568/getInfo.php?workbook=10_02.xlsx&amp;sheet=A0&amp;row=680&amp;col=7&amp;number=132700000&amp;sourceID=32","132700000")</f>
        <v>132700000</v>
      </c>
      <c r="H680" s="4" t="str">
        <f>HYPERLINK("http://141.218.60.56/~jnz1568/getInfo.php?workbook=10_02.xlsx&amp;sheet=A0&amp;row=680&amp;col=8&amp;number=&amp;sourceID=32","")</f>
        <v/>
      </c>
      <c r="I680" s="4" t="str">
        <f>HYPERLINK("http://141.218.60.56/~jnz1568/getInfo.php?workbook=10_02.xlsx&amp;sheet=A0&amp;row=680&amp;col=9&amp;number=&amp;sourceID=32","")</f>
        <v/>
      </c>
      <c r="J680" s="4" t="str">
        <f>HYPERLINK("http://141.218.60.56/~jnz1568/getInfo.php?workbook=10_02.xlsx&amp;sheet=A0&amp;row=680&amp;col=10&amp;number=4.298e-07&amp;sourceID=32","4.298e-07")</f>
        <v>4.298e-07</v>
      </c>
      <c r="K680" s="4" t="str">
        <f>HYPERLINK("http://141.218.60.56/~jnz1568/getInfo.php?workbook=10_02.xlsx&amp;sheet=A0&amp;row=680&amp;col=11&amp;number=132780000&amp;sourceID=46","132780000")</f>
        <v>132780000</v>
      </c>
      <c r="L680" s="4" t="str">
        <f>HYPERLINK("http://141.218.60.56/~jnz1568/getInfo.php?workbook=10_02.xlsx&amp;sheet=A0&amp;row=680&amp;col=12&amp;number=&amp;sourceID=47","")</f>
        <v/>
      </c>
    </row>
    <row r="681" spans="1:12">
      <c r="A681" s="3">
        <v>10</v>
      </c>
      <c r="B681" s="3">
        <v>2</v>
      </c>
      <c r="C681" s="3">
        <v>41</v>
      </c>
      <c r="D681" s="3">
        <v>16</v>
      </c>
      <c r="E681" s="3">
        <f>((1/(INDEX(E0!J$4:J$52,C681,1)-INDEX(E0!J$4:J$52,D681,1))))*100000000</f>
        <v>0</v>
      </c>
      <c r="F681" s="4" t="str">
        <f>HYPERLINK("http://141.218.60.56/~jnz1568/getInfo.php?workbook=10_02.xlsx&amp;sheet=A0&amp;row=681&amp;col=6&amp;number=&amp;sourceID=27","")</f>
        <v/>
      </c>
      <c r="G681" s="4" t="str">
        <f>HYPERLINK("http://141.218.60.56/~jnz1568/getInfo.php?workbook=10_02.xlsx&amp;sheet=A0&amp;row=681&amp;col=7&amp;number=197500000&amp;sourceID=32","197500000")</f>
        <v>197500000</v>
      </c>
      <c r="H681" s="4" t="str">
        <f>HYPERLINK("http://141.218.60.56/~jnz1568/getInfo.php?workbook=10_02.xlsx&amp;sheet=A0&amp;row=681&amp;col=8&amp;number=&amp;sourceID=32","")</f>
        <v/>
      </c>
      <c r="I681" s="4" t="str">
        <f>HYPERLINK("http://141.218.60.56/~jnz1568/getInfo.php?workbook=10_02.xlsx&amp;sheet=A0&amp;row=681&amp;col=9&amp;number=&amp;sourceID=32","")</f>
        <v/>
      </c>
      <c r="J681" s="4" t="str">
        <f>HYPERLINK("http://141.218.60.56/~jnz1568/getInfo.php?workbook=10_02.xlsx&amp;sheet=A0&amp;row=681&amp;col=10&amp;number=1.845&amp;sourceID=32","1.845")</f>
        <v>1.845</v>
      </c>
      <c r="K681" s="4" t="str">
        <f>HYPERLINK("http://141.218.60.56/~jnz1568/getInfo.php?workbook=10_02.xlsx&amp;sheet=A0&amp;row=681&amp;col=11&amp;number=126150000&amp;sourceID=46","126150000")</f>
        <v>126150000</v>
      </c>
      <c r="L681" s="4" t="str">
        <f>HYPERLINK("http://141.218.60.56/~jnz1568/getInfo.php?workbook=10_02.xlsx&amp;sheet=A0&amp;row=681&amp;col=12&amp;number=&amp;sourceID=47","")</f>
        <v/>
      </c>
    </row>
    <row r="682" spans="1:12">
      <c r="A682" s="3">
        <v>10</v>
      </c>
      <c r="B682" s="3">
        <v>2</v>
      </c>
      <c r="C682" s="3">
        <v>41</v>
      </c>
      <c r="D682" s="3">
        <v>17</v>
      </c>
      <c r="E682" s="3">
        <f>((1/(INDEX(E0!J$4:J$52,C682,1)-INDEX(E0!J$4:J$52,D682,1))))*100000000</f>
        <v>0</v>
      </c>
      <c r="F682" s="4" t="str">
        <f>HYPERLINK("http://141.218.60.56/~jnz1568/getInfo.php?workbook=10_02.xlsx&amp;sheet=A0&amp;row=682&amp;col=6&amp;number=&amp;sourceID=27","")</f>
        <v/>
      </c>
      <c r="G682" s="4" t="str">
        <f>HYPERLINK("http://141.218.60.56/~jnz1568/getInfo.php?workbook=10_02.xlsx&amp;sheet=A0&amp;row=682&amp;col=7&amp;number=&amp;sourceID=32","")</f>
        <v/>
      </c>
      <c r="H682" s="4" t="str">
        <f>HYPERLINK("http://141.218.60.56/~jnz1568/getInfo.php?workbook=10_02.xlsx&amp;sheet=A0&amp;row=682&amp;col=8&amp;number=2.737&amp;sourceID=32","2.737")</f>
        <v>2.737</v>
      </c>
      <c r="I682" s="4" t="str">
        <f>HYPERLINK("http://141.218.60.56/~jnz1568/getInfo.php?workbook=10_02.xlsx&amp;sheet=A0&amp;row=682&amp;col=9&amp;number=0.002098&amp;sourceID=32","0.002098")</f>
        <v>0.002098</v>
      </c>
      <c r="J682" s="4" t="str">
        <f>HYPERLINK("http://141.218.60.56/~jnz1568/getInfo.php?workbook=10_02.xlsx&amp;sheet=A0&amp;row=682&amp;col=10&amp;number=&amp;sourceID=32","")</f>
        <v/>
      </c>
      <c r="K682" s="4" t="str">
        <f>HYPERLINK("http://141.218.60.56/~jnz1568/getInfo.php?workbook=10_02.xlsx&amp;sheet=A0&amp;row=682&amp;col=11&amp;number=&amp;sourceID=46","")</f>
        <v/>
      </c>
      <c r="L682" s="4" t="str">
        <f>HYPERLINK("http://141.218.60.56/~jnz1568/getInfo.php?workbook=10_02.xlsx&amp;sheet=A0&amp;row=682&amp;col=12&amp;number=&amp;sourceID=47","")</f>
        <v/>
      </c>
    </row>
    <row r="683" spans="1:12">
      <c r="A683" s="3">
        <v>10</v>
      </c>
      <c r="B683" s="3">
        <v>2</v>
      </c>
      <c r="C683" s="3">
        <v>41</v>
      </c>
      <c r="D683" s="3">
        <v>18</v>
      </c>
      <c r="E683" s="3">
        <f>((1/(INDEX(E0!J$4:J$52,C683,1)-INDEX(E0!J$4:J$52,D683,1))))*100000000</f>
        <v>0</v>
      </c>
      <c r="F683" s="4" t="str">
        <f>HYPERLINK("http://141.218.60.56/~jnz1568/getInfo.php?workbook=10_02.xlsx&amp;sheet=A0&amp;row=683&amp;col=6&amp;number=&amp;sourceID=27","")</f>
        <v/>
      </c>
      <c r="G683" s="4" t="str">
        <f>HYPERLINK("http://141.218.60.56/~jnz1568/getInfo.php?workbook=10_02.xlsx&amp;sheet=A0&amp;row=683&amp;col=7&amp;number=788.7&amp;sourceID=32","788.7")</f>
        <v>788.7</v>
      </c>
      <c r="H683" s="4" t="str">
        <f>HYPERLINK("http://141.218.60.56/~jnz1568/getInfo.php?workbook=10_02.xlsx&amp;sheet=A0&amp;row=683&amp;col=8&amp;number=&amp;sourceID=32","")</f>
        <v/>
      </c>
      <c r="I683" s="4" t="str">
        <f>HYPERLINK("http://141.218.60.56/~jnz1568/getInfo.php?workbook=10_02.xlsx&amp;sheet=A0&amp;row=683&amp;col=9&amp;number=&amp;sourceID=32","")</f>
        <v/>
      </c>
      <c r="J683" s="4" t="str">
        <f>HYPERLINK("http://141.218.60.56/~jnz1568/getInfo.php?workbook=10_02.xlsx&amp;sheet=A0&amp;row=683&amp;col=10&amp;number=7.729e-08&amp;sourceID=32","7.729e-08")</f>
        <v>7.729e-08</v>
      </c>
      <c r="K683" s="4" t="str">
        <f>HYPERLINK("http://141.218.60.56/~jnz1568/getInfo.php?workbook=10_02.xlsx&amp;sheet=A0&amp;row=683&amp;col=11&amp;number=552.11&amp;sourceID=46","552.11")</f>
        <v>552.11</v>
      </c>
      <c r="L683" s="4" t="str">
        <f>HYPERLINK("http://141.218.60.56/~jnz1568/getInfo.php?workbook=10_02.xlsx&amp;sheet=A0&amp;row=683&amp;col=12&amp;number=&amp;sourceID=47","")</f>
        <v/>
      </c>
    </row>
    <row r="684" spans="1:12">
      <c r="A684" s="3">
        <v>10</v>
      </c>
      <c r="B684" s="3">
        <v>2</v>
      </c>
      <c r="C684" s="3">
        <v>41</v>
      </c>
      <c r="D684" s="3">
        <v>19</v>
      </c>
      <c r="E684" s="3">
        <f>((1/(INDEX(E0!J$4:J$52,C684,1)-INDEX(E0!J$4:J$52,D684,1))))*100000000</f>
        <v>0</v>
      </c>
      <c r="F684" s="4" t="str">
        <f>HYPERLINK("http://141.218.60.56/~jnz1568/getInfo.php?workbook=10_02.xlsx&amp;sheet=A0&amp;row=684&amp;col=6&amp;number=&amp;sourceID=27","")</f>
        <v/>
      </c>
      <c r="G684" s="4" t="str">
        <f>HYPERLINK("http://141.218.60.56/~jnz1568/getInfo.php?workbook=10_02.xlsx&amp;sheet=A0&amp;row=684&amp;col=7&amp;number=&amp;sourceID=32","")</f>
        <v/>
      </c>
      <c r="H684" s="4" t="str">
        <f>HYPERLINK("http://141.218.60.56/~jnz1568/getInfo.php?workbook=10_02.xlsx&amp;sheet=A0&amp;row=684&amp;col=8&amp;number=249600&amp;sourceID=32","249600")</f>
        <v>249600</v>
      </c>
      <c r="I684" s="4" t="str">
        <f>HYPERLINK("http://141.218.60.56/~jnz1568/getInfo.php?workbook=10_02.xlsx&amp;sheet=A0&amp;row=684&amp;col=9&amp;number=&amp;sourceID=32","")</f>
        <v/>
      </c>
      <c r="J684" s="4" t="str">
        <f>HYPERLINK("http://141.218.60.56/~jnz1568/getInfo.php?workbook=10_02.xlsx&amp;sheet=A0&amp;row=684&amp;col=10&amp;number=&amp;sourceID=32","")</f>
        <v/>
      </c>
      <c r="K684" s="4" t="str">
        <f>HYPERLINK("http://141.218.60.56/~jnz1568/getInfo.php?workbook=10_02.xlsx&amp;sheet=A0&amp;row=684&amp;col=11&amp;number=250110&amp;sourceID=46","250110")</f>
        <v>250110</v>
      </c>
      <c r="L684" s="4" t="str">
        <f>HYPERLINK("http://141.218.60.56/~jnz1568/getInfo.php?workbook=10_02.xlsx&amp;sheet=A0&amp;row=684&amp;col=12&amp;number=&amp;sourceID=47","")</f>
        <v/>
      </c>
    </row>
    <row r="685" spans="1:12">
      <c r="A685" s="3">
        <v>10</v>
      </c>
      <c r="B685" s="3">
        <v>2</v>
      </c>
      <c r="C685" s="3">
        <v>41</v>
      </c>
      <c r="D685" s="3">
        <v>20</v>
      </c>
      <c r="E685" s="3">
        <f>((1/(INDEX(E0!J$4:J$52,C685,1)-INDEX(E0!J$4:J$52,D685,1))))*100000000</f>
        <v>0</v>
      </c>
      <c r="F685" s="4" t="str">
        <f>HYPERLINK("http://141.218.60.56/~jnz1568/getInfo.php?workbook=10_02.xlsx&amp;sheet=A0&amp;row=685&amp;col=6&amp;number=&amp;sourceID=27","")</f>
        <v/>
      </c>
      <c r="G685" s="4" t="str">
        <f>HYPERLINK("http://141.218.60.56/~jnz1568/getInfo.php?workbook=10_02.xlsx&amp;sheet=A0&amp;row=685&amp;col=7&amp;number=&amp;sourceID=32","")</f>
        <v/>
      </c>
      <c r="H685" s="4" t="str">
        <f>HYPERLINK("http://141.218.60.56/~jnz1568/getInfo.php?workbook=10_02.xlsx&amp;sheet=A0&amp;row=685&amp;col=8&amp;number=249300&amp;sourceID=32","249300")</f>
        <v>249300</v>
      </c>
      <c r="I685" s="4" t="str">
        <f>HYPERLINK("http://141.218.60.56/~jnz1568/getInfo.php?workbook=10_02.xlsx&amp;sheet=A0&amp;row=685&amp;col=9&amp;number=6.765e-05&amp;sourceID=32","6.765e-05")</f>
        <v>6.765e-05</v>
      </c>
      <c r="J685" s="4" t="str">
        <f>HYPERLINK("http://141.218.60.56/~jnz1568/getInfo.php?workbook=10_02.xlsx&amp;sheet=A0&amp;row=685&amp;col=10&amp;number=&amp;sourceID=32","")</f>
        <v/>
      </c>
      <c r="K685" s="4" t="str">
        <f>HYPERLINK("http://141.218.60.56/~jnz1568/getInfo.php?workbook=10_02.xlsx&amp;sheet=A0&amp;row=685&amp;col=11&amp;number=249850&amp;sourceID=46","249850")</f>
        <v>249850</v>
      </c>
      <c r="L685" s="4" t="str">
        <f>HYPERLINK("http://141.218.60.56/~jnz1568/getInfo.php?workbook=10_02.xlsx&amp;sheet=A0&amp;row=685&amp;col=12&amp;number=&amp;sourceID=47","")</f>
        <v/>
      </c>
    </row>
    <row r="686" spans="1:12">
      <c r="A686" s="3">
        <v>10</v>
      </c>
      <c r="B686" s="3">
        <v>2</v>
      </c>
      <c r="C686" s="3">
        <v>41</v>
      </c>
      <c r="D686" s="3">
        <v>21</v>
      </c>
      <c r="E686" s="3">
        <f>((1/(INDEX(E0!J$4:J$52,C686,1)-INDEX(E0!J$4:J$52,D686,1))))*100000000</f>
        <v>0</v>
      </c>
      <c r="F686" s="4" t="str">
        <f>HYPERLINK("http://141.218.60.56/~jnz1568/getInfo.php?workbook=10_02.xlsx&amp;sheet=A0&amp;row=686&amp;col=6&amp;number=&amp;sourceID=27","")</f>
        <v/>
      </c>
      <c r="G686" s="4" t="str">
        <f>HYPERLINK("http://141.218.60.56/~jnz1568/getInfo.php?workbook=10_02.xlsx&amp;sheet=A0&amp;row=686&amp;col=7&amp;number=&amp;sourceID=32","")</f>
        <v/>
      </c>
      <c r="H686" s="4" t="str">
        <f>HYPERLINK("http://141.218.60.56/~jnz1568/getInfo.php?workbook=10_02.xlsx&amp;sheet=A0&amp;row=686&amp;col=8&amp;number=&amp;sourceID=32","")</f>
        <v/>
      </c>
      <c r="I686" s="4" t="str">
        <f>HYPERLINK("http://141.218.60.56/~jnz1568/getInfo.php?workbook=10_02.xlsx&amp;sheet=A0&amp;row=686&amp;col=9&amp;number=&amp;sourceID=32","")</f>
        <v/>
      </c>
      <c r="J686" s="4" t="str">
        <f>HYPERLINK("http://141.218.60.56/~jnz1568/getInfo.php?workbook=10_02.xlsx&amp;sheet=A0&amp;row=686&amp;col=10&amp;number=9.993e-09&amp;sourceID=32","9.993e-09")</f>
        <v>9.993e-09</v>
      </c>
      <c r="K686" s="4" t="str">
        <f>HYPERLINK("http://141.218.60.56/~jnz1568/getInfo.php?workbook=10_02.xlsx&amp;sheet=A0&amp;row=686&amp;col=11&amp;number=&amp;sourceID=46","")</f>
        <v/>
      </c>
      <c r="L686" s="4" t="str">
        <f>HYPERLINK("http://141.218.60.56/~jnz1568/getInfo.php?workbook=10_02.xlsx&amp;sheet=A0&amp;row=686&amp;col=12&amp;number=&amp;sourceID=47","")</f>
        <v/>
      </c>
    </row>
    <row r="687" spans="1:12">
      <c r="A687" s="3">
        <v>10</v>
      </c>
      <c r="B687" s="3">
        <v>2</v>
      </c>
      <c r="C687" s="3">
        <v>41</v>
      </c>
      <c r="D687" s="3">
        <v>22</v>
      </c>
      <c r="E687" s="3">
        <f>((1/(INDEX(E0!J$4:J$52,C687,1)-INDEX(E0!J$4:J$52,D687,1))))*100000000</f>
        <v>0</v>
      </c>
      <c r="F687" s="4" t="str">
        <f>HYPERLINK("http://141.218.60.56/~jnz1568/getInfo.php?workbook=10_02.xlsx&amp;sheet=A0&amp;row=687&amp;col=6&amp;number=&amp;sourceID=27","")</f>
        <v/>
      </c>
      <c r="G687" s="4" t="str">
        <f>HYPERLINK("http://141.218.60.56/~jnz1568/getInfo.php?workbook=10_02.xlsx&amp;sheet=A0&amp;row=687&amp;col=7&amp;number=&amp;sourceID=32","")</f>
        <v/>
      </c>
      <c r="H687" s="4" t="str">
        <f>HYPERLINK("http://141.218.60.56/~jnz1568/getInfo.php?workbook=10_02.xlsx&amp;sheet=A0&amp;row=687&amp;col=8&amp;number=35540&amp;sourceID=32","35540")</f>
        <v>35540</v>
      </c>
      <c r="I687" s="4" t="str">
        <f>HYPERLINK("http://141.218.60.56/~jnz1568/getInfo.php?workbook=10_02.xlsx&amp;sheet=A0&amp;row=687&amp;col=9&amp;number=4.998e-05&amp;sourceID=32","4.998e-05")</f>
        <v>4.998e-05</v>
      </c>
      <c r="J687" s="4" t="str">
        <f>HYPERLINK("http://141.218.60.56/~jnz1568/getInfo.php?workbook=10_02.xlsx&amp;sheet=A0&amp;row=687&amp;col=10&amp;number=&amp;sourceID=32","")</f>
        <v/>
      </c>
      <c r="K687" s="4" t="str">
        <f>HYPERLINK("http://141.218.60.56/~jnz1568/getInfo.php?workbook=10_02.xlsx&amp;sheet=A0&amp;row=687&amp;col=11&amp;number=35590&amp;sourceID=46","35590")</f>
        <v>35590</v>
      </c>
      <c r="L687" s="4" t="str">
        <f>HYPERLINK("http://141.218.60.56/~jnz1568/getInfo.php?workbook=10_02.xlsx&amp;sheet=A0&amp;row=687&amp;col=12&amp;number=&amp;sourceID=47","")</f>
        <v/>
      </c>
    </row>
    <row r="688" spans="1:12">
      <c r="A688" s="3">
        <v>10</v>
      </c>
      <c r="B688" s="3">
        <v>2</v>
      </c>
      <c r="C688" s="3">
        <v>41</v>
      </c>
      <c r="D688" s="3">
        <v>23</v>
      </c>
      <c r="E688" s="3">
        <f>((1/(INDEX(E0!J$4:J$52,C688,1)-INDEX(E0!J$4:J$52,D688,1))))*100000000</f>
        <v>0</v>
      </c>
      <c r="F688" s="4" t="str">
        <f>HYPERLINK("http://141.218.60.56/~jnz1568/getInfo.php?workbook=10_02.xlsx&amp;sheet=A0&amp;row=688&amp;col=6&amp;number=&amp;sourceID=27","")</f>
        <v/>
      </c>
      <c r="G688" s="4" t="str">
        <f>HYPERLINK("http://141.218.60.56/~jnz1568/getInfo.php?workbook=10_02.xlsx&amp;sheet=A0&amp;row=688&amp;col=7&amp;number=14250000000&amp;sourceID=32","14250000000")</f>
        <v>14250000000</v>
      </c>
      <c r="H688" s="4" t="str">
        <f>HYPERLINK("http://141.218.60.56/~jnz1568/getInfo.php?workbook=10_02.xlsx&amp;sheet=A0&amp;row=688&amp;col=8&amp;number=&amp;sourceID=32","")</f>
        <v/>
      </c>
      <c r="I688" s="4" t="str">
        <f>HYPERLINK("http://141.218.60.56/~jnz1568/getInfo.php?workbook=10_02.xlsx&amp;sheet=A0&amp;row=688&amp;col=9&amp;number=&amp;sourceID=32","")</f>
        <v/>
      </c>
      <c r="J688" s="4" t="str">
        <f>HYPERLINK("http://141.218.60.56/~jnz1568/getInfo.php?workbook=10_02.xlsx&amp;sheet=A0&amp;row=688&amp;col=10&amp;number=1.17&amp;sourceID=32","1.17")</f>
        <v>1.17</v>
      </c>
      <c r="K688" s="4" t="str">
        <f>HYPERLINK("http://141.218.60.56/~jnz1568/getInfo.php?workbook=10_02.xlsx&amp;sheet=A0&amp;row=688&amp;col=11&amp;number=14250000000&amp;sourceID=46","14250000000")</f>
        <v>14250000000</v>
      </c>
      <c r="L688" s="4" t="str">
        <f>HYPERLINK("http://141.218.60.56/~jnz1568/getInfo.php?workbook=10_02.xlsx&amp;sheet=A0&amp;row=688&amp;col=12&amp;number=&amp;sourceID=47","")</f>
        <v/>
      </c>
    </row>
    <row r="689" spans="1:12">
      <c r="A689" s="3">
        <v>10</v>
      </c>
      <c r="B689" s="3">
        <v>2</v>
      </c>
      <c r="C689" s="3">
        <v>41</v>
      </c>
      <c r="D689" s="3">
        <v>24</v>
      </c>
      <c r="E689" s="3">
        <f>((1/(INDEX(E0!J$4:J$52,C689,1)-INDEX(E0!J$4:J$52,D689,1))))*100000000</f>
        <v>0</v>
      </c>
      <c r="F689" s="4" t="str">
        <f>HYPERLINK("http://141.218.60.56/~jnz1568/getInfo.php?workbook=10_02.xlsx&amp;sheet=A0&amp;row=689&amp;col=6&amp;number=&amp;sourceID=27","")</f>
        <v/>
      </c>
      <c r="G689" s="4" t="str">
        <f>HYPERLINK("http://141.218.60.56/~jnz1568/getInfo.php?workbook=10_02.xlsx&amp;sheet=A0&amp;row=689&amp;col=7&amp;number=2566000000&amp;sourceID=32","2566000000")</f>
        <v>2566000000</v>
      </c>
      <c r="H689" s="4" t="str">
        <f>HYPERLINK("http://141.218.60.56/~jnz1568/getInfo.php?workbook=10_02.xlsx&amp;sheet=A0&amp;row=689&amp;col=8&amp;number=&amp;sourceID=32","")</f>
        <v/>
      </c>
      <c r="I689" s="4" t="str">
        <f>HYPERLINK("http://141.218.60.56/~jnz1568/getInfo.php?workbook=10_02.xlsx&amp;sheet=A0&amp;row=689&amp;col=9&amp;number=&amp;sourceID=32","")</f>
        <v/>
      </c>
      <c r="J689" s="4" t="str">
        <f>HYPERLINK("http://141.218.60.56/~jnz1568/getInfo.php?workbook=10_02.xlsx&amp;sheet=A0&amp;row=689&amp;col=10&amp;number=0.3788&amp;sourceID=32","0.3788")</f>
        <v>0.3788</v>
      </c>
      <c r="K689" s="4" t="str">
        <f>HYPERLINK("http://141.218.60.56/~jnz1568/getInfo.php?workbook=10_02.xlsx&amp;sheet=A0&amp;row=689&amp;col=11&amp;number=2592700000&amp;sourceID=46","2592700000")</f>
        <v>2592700000</v>
      </c>
      <c r="L689" s="4" t="str">
        <f>HYPERLINK("http://141.218.60.56/~jnz1568/getInfo.php?workbook=10_02.xlsx&amp;sheet=A0&amp;row=689&amp;col=12&amp;number=&amp;sourceID=47","")</f>
        <v/>
      </c>
    </row>
    <row r="690" spans="1:12">
      <c r="A690" s="3">
        <v>10</v>
      </c>
      <c r="B690" s="3">
        <v>2</v>
      </c>
      <c r="C690" s="3">
        <v>41</v>
      </c>
      <c r="D690" s="3">
        <v>25</v>
      </c>
      <c r="E690" s="3">
        <f>((1/(INDEX(E0!J$4:J$52,C690,1)-INDEX(E0!J$4:J$52,D690,1))))*100000000</f>
        <v>0</v>
      </c>
      <c r="F690" s="4" t="str">
        <f>HYPERLINK("http://141.218.60.56/~jnz1568/getInfo.php?workbook=10_02.xlsx&amp;sheet=A0&amp;row=690&amp;col=6&amp;number=&amp;sourceID=27","")</f>
        <v/>
      </c>
      <c r="G690" s="4" t="str">
        <f>HYPERLINK("http://141.218.60.56/~jnz1568/getInfo.php?workbook=10_02.xlsx&amp;sheet=A0&amp;row=690&amp;col=7&amp;number=75360000&amp;sourceID=32","75360000")</f>
        <v>75360000</v>
      </c>
      <c r="H690" s="4" t="str">
        <f>HYPERLINK("http://141.218.60.56/~jnz1568/getInfo.php?workbook=10_02.xlsx&amp;sheet=A0&amp;row=690&amp;col=8&amp;number=&amp;sourceID=32","")</f>
        <v/>
      </c>
      <c r="I690" s="4" t="str">
        <f>HYPERLINK("http://141.218.60.56/~jnz1568/getInfo.php?workbook=10_02.xlsx&amp;sheet=A0&amp;row=690&amp;col=9&amp;number=&amp;sourceID=32","")</f>
        <v/>
      </c>
      <c r="J690" s="4" t="str">
        <f>HYPERLINK("http://141.218.60.56/~jnz1568/getInfo.php?workbook=10_02.xlsx&amp;sheet=A0&amp;row=690&amp;col=10&amp;number=8.084e-10&amp;sourceID=32","8.084e-10")</f>
        <v>8.084e-10</v>
      </c>
      <c r="K690" s="4" t="str">
        <f>HYPERLINK("http://141.218.60.56/~jnz1568/getInfo.php?workbook=10_02.xlsx&amp;sheet=A0&amp;row=690&amp;col=11&amp;number=75333000&amp;sourceID=46","75333000")</f>
        <v>75333000</v>
      </c>
      <c r="L690" s="4" t="str">
        <f>HYPERLINK("http://141.218.60.56/~jnz1568/getInfo.php?workbook=10_02.xlsx&amp;sheet=A0&amp;row=690&amp;col=12&amp;number=&amp;sourceID=47","")</f>
        <v/>
      </c>
    </row>
    <row r="691" spans="1:12">
      <c r="A691" s="3">
        <v>10</v>
      </c>
      <c r="B691" s="3">
        <v>2</v>
      </c>
      <c r="C691" s="3">
        <v>41</v>
      </c>
      <c r="D691" s="3">
        <v>26</v>
      </c>
      <c r="E691" s="3">
        <f>((1/(INDEX(E0!J$4:J$52,C691,1)-INDEX(E0!J$4:J$52,D691,1))))*100000000</f>
        <v>0</v>
      </c>
      <c r="F691" s="4" t="str">
        <f>HYPERLINK("http://141.218.60.56/~jnz1568/getInfo.php?workbook=10_02.xlsx&amp;sheet=A0&amp;row=691&amp;col=6&amp;number=&amp;sourceID=27","")</f>
        <v/>
      </c>
      <c r="G691" s="4" t="str">
        <f>HYPERLINK("http://141.218.60.56/~jnz1568/getInfo.php?workbook=10_02.xlsx&amp;sheet=A0&amp;row=691&amp;col=7&amp;number=&amp;sourceID=32","")</f>
        <v/>
      </c>
      <c r="H691" s="4" t="str">
        <f>HYPERLINK("http://141.218.60.56/~jnz1568/getInfo.php?workbook=10_02.xlsx&amp;sheet=A0&amp;row=691&amp;col=8&amp;number=14380&amp;sourceID=32","14380")</f>
        <v>14380</v>
      </c>
      <c r="I691" s="4" t="str">
        <f>HYPERLINK("http://141.218.60.56/~jnz1568/getInfo.php?workbook=10_02.xlsx&amp;sheet=A0&amp;row=691&amp;col=9&amp;number=0.0009671&amp;sourceID=32","0.0009671")</f>
        <v>0.0009671</v>
      </c>
      <c r="J691" s="4" t="str">
        <f>HYPERLINK("http://141.218.60.56/~jnz1568/getInfo.php?workbook=10_02.xlsx&amp;sheet=A0&amp;row=691&amp;col=10&amp;number=&amp;sourceID=32","")</f>
        <v/>
      </c>
      <c r="K691" s="4" t="str">
        <f>HYPERLINK("http://141.218.60.56/~jnz1568/getInfo.php?workbook=10_02.xlsx&amp;sheet=A0&amp;row=691&amp;col=11&amp;number=55752&amp;sourceID=46","55752")</f>
        <v>55752</v>
      </c>
      <c r="L691" s="4" t="str">
        <f>HYPERLINK("http://141.218.60.56/~jnz1568/getInfo.php?workbook=10_02.xlsx&amp;sheet=A0&amp;row=691&amp;col=12&amp;number=&amp;sourceID=47","")</f>
        <v/>
      </c>
    </row>
    <row r="692" spans="1:12">
      <c r="A692" s="3">
        <v>10</v>
      </c>
      <c r="B692" s="3">
        <v>2</v>
      </c>
      <c r="C692" s="3">
        <v>41</v>
      </c>
      <c r="D692" s="3">
        <v>27</v>
      </c>
      <c r="E692" s="3">
        <f>((1/(INDEX(E0!J$4:J$52,C692,1)-INDEX(E0!J$4:J$52,D692,1))))*100000000</f>
        <v>0</v>
      </c>
      <c r="F692" s="4" t="str">
        <f>HYPERLINK("http://141.218.60.56/~jnz1568/getInfo.php?workbook=10_02.xlsx&amp;sheet=A0&amp;row=692&amp;col=6&amp;number=&amp;sourceID=27","")</f>
        <v/>
      </c>
      <c r="G692" s="4" t="str">
        <f>HYPERLINK("http://141.218.60.56/~jnz1568/getInfo.php?workbook=10_02.xlsx&amp;sheet=A0&amp;row=692&amp;col=7&amp;number=&amp;sourceID=32","")</f>
        <v/>
      </c>
      <c r="H692" s="4" t="str">
        <f>HYPERLINK("http://141.218.60.56/~jnz1568/getInfo.php?workbook=10_02.xlsx&amp;sheet=A0&amp;row=692&amp;col=8&amp;number=55750&amp;sourceID=32","55750")</f>
        <v>55750</v>
      </c>
      <c r="I692" s="4" t="str">
        <f>HYPERLINK("http://141.218.60.56/~jnz1568/getInfo.php?workbook=10_02.xlsx&amp;sheet=A0&amp;row=692&amp;col=9&amp;number=0.004386&amp;sourceID=32","0.004386")</f>
        <v>0.004386</v>
      </c>
      <c r="J692" s="4" t="str">
        <f>HYPERLINK("http://141.218.60.56/~jnz1568/getInfo.php?workbook=10_02.xlsx&amp;sheet=A0&amp;row=692&amp;col=10&amp;number=&amp;sourceID=32","")</f>
        <v/>
      </c>
      <c r="K692" s="4" t="str">
        <f>HYPERLINK("http://141.218.60.56/~jnz1568/getInfo.php?workbook=10_02.xlsx&amp;sheet=A0&amp;row=692&amp;col=11&amp;number=14716&amp;sourceID=46","14716")</f>
        <v>14716</v>
      </c>
      <c r="L692" s="4" t="str">
        <f>HYPERLINK("http://141.218.60.56/~jnz1568/getInfo.php?workbook=10_02.xlsx&amp;sheet=A0&amp;row=692&amp;col=12&amp;number=&amp;sourceID=47","")</f>
        <v/>
      </c>
    </row>
    <row r="693" spans="1:12">
      <c r="A693" s="3">
        <v>10</v>
      </c>
      <c r="B693" s="3">
        <v>2</v>
      </c>
      <c r="C693" s="3">
        <v>41</v>
      </c>
      <c r="D693" s="3">
        <v>28</v>
      </c>
      <c r="E693" s="3">
        <f>((1/(INDEX(E0!J$4:J$52,C693,1)-INDEX(E0!J$4:J$52,D693,1))))*100000000</f>
        <v>0</v>
      </c>
      <c r="F693" s="4" t="str">
        <f>HYPERLINK("http://141.218.60.56/~jnz1568/getInfo.php?workbook=10_02.xlsx&amp;sheet=A0&amp;row=693&amp;col=6&amp;number=&amp;sourceID=27","")</f>
        <v/>
      </c>
      <c r="G693" s="4" t="str">
        <f>HYPERLINK("http://141.218.60.56/~jnz1568/getInfo.php?workbook=10_02.xlsx&amp;sheet=A0&amp;row=693&amp;col=7&amp;number=&amp;sourceID=32","")</f>
        <v/>
      </c>
      <c r="H693" s="4" t="str">
        <f>HYPERLINK("http://141.218.60.56/~jnz1568/getInfo.php?workbook=10_02.xlsx&amp;sheet=A0&amp;row=693&amp;col=8&amp;number=&amp;sourceID=32","")</f>
        <v/>
      </c>
      <c r="I693" s="4" t="str">
        <f>HYPERLINK("http://141.218.60.56/~jnz1568/getInfo.php?workbook=10_02.xlsx&amp;sheet=A0&amp;row=693&amp;col=9&amp;number=&amp;sourceID=32","")</f>
        <v/>
      </c>
      <c r="J693" s="4" t="str">
        <f>HYPERLINK("http://141.218.60.56/~jnz1568/getInfo.php?workbook=10_02.xlsx&amp;sheet=A0&amp;row=693&amp;col=10&amp;number=&amp;sourceID=32","")</f>
        <v/>
      </c>
      <c r="K693" s="4" t="str">
        <f>HYPERLINK("http://141.218.60.56/~jnz1568/getInfo.php?workbook=10_02.xlsx&amp;sheet=A0&amp;row=693&amp;col=11&amp;number=1160.3&amp;sourceID=46","1160.3")</f>
        <v>1160.3</v>
      </c>
      <c r="L693" s="4" t="str">
        <f>HYPERLINK("http://141.218.60.56/~jnz1568/getInfo.php?workbook=10_02.xlsx&amp;sheet=A0&amp;row=693&amp;col=12&amp;number=&amp;sourceID=47","")</f>
        <v/>
      </c>
    </row>
    <row r="694" spans="1:12">
      <c r="A694" s="3">
        <v>10</v>
      </c>
      <c r="B694" s="3">
        <v>2</v>
      </c>
      <c r="C694" s="3">
        <v>41</v>
      </c>
      <c r="D694" s="3">
        <v>29</v>
      </c>
      <c r="E694" s="3">
        <f>((1/(INDEX(E0!J$4:J$52,C694,1)-INDEX(E0!J$4:J$52,D694,1))))*100000000</f>
        <v>0</v>
      </c>
      <c r="F694" s="4" t="str">
        <f>HYPERLINK("http://141.218.60.56/~jnz1568/getInfo.php?workbook=10_02.xlsx&amp;sheet=A0&amp;row=694&amp;col=6&amp;number=&amp;sourceID=27","")</f>
        <v/>
      </c>
      <c r="G694" s="4" t="str">
        <f>HYPERLINK("http://141.218.60.56/~jnz1568/getInfo.php?workbook=10_02.xlsx&amp;sheet=A0&amp;row=694&amp;col=7&amp;number=73380000&amp;sourceID=32","73380000")</f>
        <v>73380000</v>
      </c>
      <c r="H694" s="4" t="str">
        <f>HYPERLINK("http://141.218.60.56/~jnz1568/getInfo.php?workbook=10_02.xlsx&amp;sheet=A0&amp;row=694&amp;col=8&amp;number=&amp;sourceID=32","")</f>
        <v/>
      </c>
      <c r="I694" s="4" t="str">
        <f>HYPERLINK("http://141.218.60.56/~jnz1568/getInfo.php?workbook=10_02.xlsx&amp;sheet=A0&amp;row=694&amp;col=9&amp;number=&amp;sourceID=32","")</f>
        <v/>
      </c>
      <c r="J694" s="4" t="str">
        <f>HYPERLINK("http://141.218.60.56/~jnz1568/getInfo.php?workbook=10_02.xlsx&amp;sheet=A0&amp;row=694&amp;col=10&amp;number=0.1221&amp;sourceID=32","0.1221")</f>
        <v>0.1221</v>
      </c>
      <c r="K694" s="4" t="str">
        <f>HYPERLINK("http://141.218.60.56/~jnz1568/getInfo.php?workbook=10_02.xlsx&amp;sheet=A0&amp;row=694&amp;col=11&amp;number=46259000&amp;sourceID=46","46259000")</f>
        <v>46259000</v>
      </c>
      <c r="L694" s="4" t="str">
        <f>HYPERLINK("http://141.218.60.56/~jnz1568/getInfo.php?workbook=10_02.xlsx&amp;sheet=A0&amp;row=694&amp;col=12&amp;number=&amp;sourceID=47","")</f>
        <v/>
      </c>
    </row>
    <row r="695" spans="1:12">
      <c r="A695" s="3">
        <v>10</v>
      </c>
      <c r="B695" s="3">
        <v>2</v>
      </c>
      <c r="C695" s="3">
        <v>41</v>
      </c>
      <c r="D695" s="3">
        <v>30</v>
      </c>
      <c r="E695" s="3">
        <f>((1/(INDEX(E0!J$4:J$52,C695,1)-INDEX(E0!J$4:J$52,D695,1))))*100000000</f>
        <v>0</v>
      </c>
      <c r="F695" s="4" t="str">
        <f>HYPERLINK("http://141.218.60.56/~jnz1568/getInfo.php?workbook=10_02.xlsx&amp;sheet=A0&amp;row=695&amp;col=6&amp;number=&amp;sourceID=27","")</f>
        <v/>
      </c>
      <c r="G695" s="4" t="str">
        <f>HYPERLINK("http://141.218.60.56/~jnz1568/getInfo.php?workbook=10_02.xlsx&amp;sheet=A0&amp;row=695&amp;col=7&amp;number=&amp;sourceID=32","")</f>
        <v/>
      </c>
      <c r="H695" s="4" t="str">
        <f>HYPERLINK("http://141.218.60.56/~jnz1568/getInfo.php?workbook=10_02.xlsx&amp;sheet=A0&amp;row=695&amp;col=8&amp;number=10020&amp;sourceID=32","10020")</f>
        <v>10020</v>
      </c>
      <c r="I695" s="4" t="str">
        <f>HYPERLINK("http://141.218.60.56/~jnz1568/getInfo.php?workbook=10_02.xlsx&amp;sheet=A0&amp;row=695&amp;col=9&amp;number=0.003908&amp;sourceID=32","0.003908")</f>
        <v>0.003908</v>
      </c>
      <c r="J695" s="4" t="str">
        <f>HYPERLINK("http://141.218.60.56/~jnz1568/getInfo.php?workbook=10_02.xlsx&amp;sheet=A0&amp;row=695&amp;col=10&amp;number=&amp;sourceID=32","")</f>
        <v/>
      </c>
      <c r="K695" s="4" t="str">
        <f>HYPERLINK("http://141.218.60.56/~jnz1568/getInfo.php?workbook=10_02.xlsx&amp;sheet=A0&amp;row=695&amp;col=11&amp;number=9677.6&amp;sourceID=46","9677.6")</f>
        <v>9677.6</v>
      </c>
      <c r="L695" s="4" t="str">
        <f>HYPERLINK("http://141.218.60.56/~jnz1568/getInfo.php?workbook=10_02.xlsx&amp;sheet=A0&amp;row=695&amp;col=12&amp;number=&amp;sourceID=47","")</f>
        <v/>
      </c>
    </row>
    <row r="696" spans="1:12">
      <c r="A696" s="3">
        <v>10</v>
      </c>
      <c r="B696" s="3">
        <v>2</v>
      </c>
      <c r="C696" s="3">
        <v>41</v>
      </c>
      <c r="D696" s="3">
        <v>31</v>
      </c>
      <c r="E696" s="3">
        <f>((1/(INDEX(E0!J$4:J$52,C696,1)-INDEX(E0!J$4:J$52,D696,1))))*100000000</f>
        <v>0</v>
      </c>
      <c r="F696" s="4" t="str">
        <f>HYPERLINK("http://141.218.60.56/~jnz1568/getInfo.php?workbook=10_02.xlsx&amp;sheet=A0&amp;row=696&amp;col=6&amp;number=&amp;sourceID=27","")</f>
        <v/>
      </c>
      <c r="G696" s="4" t="str">
        <f>HYPERLINK("http://141.218.60.56/~jnz1568/getInfo.php?workbook=10_02.xlsx&amp;sheet=A0&amp;row=696&amp;col=7&amp;number=&amp;sourceID=32","")</f>
        <v/>
      </c>
      <c r="H696" s="4" t="str">
        <f>HYPERLINK("http://141.218.60.56/~jnz1568/getInfo.php?workbook=10_02.xlsx&amp;sheet=A0&amp;row=696&amp;col=8&amp;number=154.1&amp;sourceID=32","154.1")</f>
        <v>154.1</v>
      </c>
      <c r="I696" s="4" t="str">
        <f>HYPERLINK("http://141.218.60.56/~jnz1568/getInfo.php?workbook=10_02.xlsx&amp;sheet=A0&amp;row=696&amp;col=9&amp;number=0.000111&amp;sourceID=32","0.000111")</f>
        <v>0.000111</v>
      </c>
      <c r="J696" s="4" t="str">
        <f>HYPERLINK("http://141.218.60.56/~jnz1568/getInfo.php?workbook=10_02.xlsx&amp;sheet=A0&amp;row=696&amp;col=10&amp;number=&amp;sourceID=32","")</f>
        <v/>
      </c>
      <c r="K696" s="4" t="str">
        <f>HYPERLINK("http://141.218.60.56/~jnz1568/getInfo.php?workbook=10_02.xlsx&amp;sheet=A0&amp;row=696&amp;col=11&amp;number=103.12&amp;sourceID=46","103.12")</f>
        <v>103.12</v>
      </c>
      <c r="L696" s="4" t="str">
        <f>HYPERLINK("http://141.218.60.56/~jnz1568/getInfo.php?workbook=10_02.xlsx&amp;sheet=A0&amp;row=696&amp;col=12&amp;number=&amp;sourceID=47","")</f>
        <v/>
      </c>
    </row>
    <row r="697" spans="1:12">
      <c r="A697" s="3">
        <v>10</v>
      </c>
      <c r="B697" s="3">
        <v>2</v>
      </c>
      <c r="C697" s="3">
        <v>41</v>
      </c>
      <c r="D697" s="3">
        <v>32</v>
      </c>
      <c r="E697" s="3">
        <f>((1/(INDEX(E0!J$4:J$52,C697,1)-INDEX(E0!J$4:J$52,D697,1))))*100000000</f>
        <v>0</v>
      </c>
      <c r="F697" s="4" t="str">
        <f>HYPERLINK("http://141.218.60.56/~jnz1568/getInfo.php?workbook=10_02.xlsx&amp;sheet=A0&amp;row=697&amp;col=6&amp;number=&amp;sourceID=27","")</f>
        <v/>
      </c>
      <c r="G697" s="4" t="str">
        <f>HYPERLINK("http://141.218.60.56/~jnz1568/getInfo.php?workbook=10_02.xlsx&amp;sheet=A0&amp;row=697&amp;col=7&amp;number=0.1432&amp;sourceID=32","0.1432")</f>
        <v>0.1432</v>
      </c>
      <c r="H697" s="4" t="str">
        <f>HYPERLINK("http://141.218.60.56/~jnz1568/getInfo.php?workbook=10_02.xlsx&amp;sheet=A0&amp;row=697&amp;col=8&amp;number=&amp;sourceID=32","")</f>
        <v/>
      </c>
      <c r="I697" s="4" t="str">
        <f>HYPERLINK("http://141.218.60.56/~jnz1568/getInfo.php?workbook=10_02.xlsx&amp;sheet=A0&amp;row=697&amp;col=9&amp;number=&amp;sourceID=32","")</f>
        <v/>
      </c>
      <c r="J697" s="4" t="str">
        <f>HYPERLINK("http://141.218.60.56/~jnz1568/getInfo.php?workbook=10_02.xlsx&amp;sheet=A0&amp;row=697&amp;col=10&amp;number=9e-15&amp;sourceID=32","9e-15")</f>
        <v>9e-15</v>
      </c>
      <c r="K697" s="4" t="str">
        <f>HYPERLINK("http://141.218.60.56/~jnz1568/getInfo.php?workbook=10_02.xlsx&amp;sheet=A0&amp;row=697&amp;col=11&amp;number=&amp;sourceID=46","")</f>
        <v/>
      </c>
      <c r="L697" s="4" t="str">
        <f>HYPERLINK("http://141.218.60.56/~jnz1568/getInfo.php?workbook=10_02.xlsx&amp;sheet=A0&amp;row=697&amp;col=12&amp;number=&amp;sourceID=47","")</f>
        <v/>
      </c>
    </row>
    <row r="698" spans="1:12">
      <c r="A698" s="3">
        <v>10</v>
      </c>
      <c r="B698" s="3">
        <v>2</v>
      </c>
      <c r="C698" s="3">
        <v>41</v>
      </c>
      <c r="D698" s="3">
        <v>33</v>
      </c>
      <c r="E698" s="3">
        <f>((1/(INDEX(E0!J$4:J$52,C698,1)-INDEX(E0!J$4:J$52,D698,1))))*100000000</f>
        <v>0</v>
      </c>
      <c r="F698" s="4" t="str">
        <f>HYPERLINK("http://141.218.60.56/~jnz1568/getInfo.php?workbook=10_02.xlsx&amp;sheet=A0&amp;row=698&amp;col=6&amp;number=&amp;sourceID=27","")</f>
        <v/>
      </c>
      <c r="G698" s="4" t="str">
        <f>HYPERLINK("http://141.218.60.56/~jnz1568/getInfo.php?workbook=10_02.xlsx&amp;sheet=A0&amp;row=698&amp;col=7&amp;number=&amp;sourceID=32","")</f>
        <v/>
      </c>
      <c r="H698" s="4" t="str">
        <f>HYPERLINK("http://141.218.60.56/~jnz1568/getInfo.php?workbook=10_02.xlsx&amp;sheet=A0&amp;row=698&amp;col=8&amp;number=0.0004041&amp;sourceID=32","0.0004041")</f>
        <v>0.0004041</v>
      </c>
      <c r="I698" s="4" t="str">
        <f>HYPERLINK("http://141.218.60.56/~jnz1568/getInfo.php?workbook=10_02.xlsx&amp;sheet=A0&amp;row=698&amp;col=9&amp;number=&amp;sourceID=32","")</f>
        <v/>
      </c>
      <c r="J698" s="4" t="str">
        <f>HYPERLINK("http://141.218.60.56/~jnz1568/getInfo.php?workbook=10_02.xlsx&amp;sheet=A0&amp;row=698&amp;col=10&amp;number=&amp;sourceID=32","")</f>
        <v/>
      </c>
      <c r="K698" s="4" t="str">
        <f>HYPERLINK("http://141.218.60.56/~jnz1568/getInfo.php?workbook=10_02.xlsx&amp;sheet=A0&amp;row=698&amp;col=11&amp;number=&amp;sourceID=46","")</f>
        <v/>
      </c>
      <c r="L698" s="4" t="str">
        <f>HYPERLINK("http://141.218.60.56/~jnz1568/getInfo.php?workbook=10_02.xlsx&amp;sheet=A0&amp;row=698&amp;col=12&amp;number=&amp;sourceID=47","")</f>
        <v/>
      </c>
    </row>
    <row r="699" spans="1:12">
      <c r="A699" s="3">
        <v>10</v>
      </c>
      <c r="B699" s="3">
        <v>2</v>
      </c>
      <c r="C699" s="3">
        <v>41</v>
      </c>
      <c r="D699" s="3">
        <v>34</v>
      </c>
      <c r="E699" s="3">
        <f>((1/(INDEX(E0!J$4:J$52,C699,1)-INDEX(E0!J$4:J$52,D699,1))))*100000000</f>
        <v>0</v>
      </c>
      <c r="F699" s="4" t="str">
        <f>HYPERLINK("http://141.218.60.56/~jnz1568/getInfo.php?workbook=10_02.xlsx&amp;sheet=A0&amp;row=699&amp;col=6&amp;number=&amp;sourceID=27","")</f>
        <v/>
      </c>
      <c r="G699" s="4" t="str">
        <f>HYPERLINK("http://141.218.60.56/~jnz1568/getInfo.php?workbook=10_02.xlsx&amp;sheet=A0&amp;row=699&amp;col=7&amp;number=&amp;sourceID=32","")</f>
        <v/>
      </c>
      <c r="H699" s="4" t="str">
        <f>HYPERLINK("http://141.218.60.56/~jnz1568/getInfo.php?workbook=10_02.xlsx&amp;sheet=A0&amp;row=699&amp;col=8&amp;number=&amp;sourceID=32","")</f>
        <v/>
      </c>
      <c r="I699" s="4" t="str">
        <f>HYPERLINK("http://141.218.60.56/~jnz1568/getInfo.php?workbook=10_02.xlsx&amp;sheet=A0&amp;row=699&amp;col=9&amp;number=&amp;sourceID=32","")</f>
        <v/>
      </c>
      <c r="J699" s="4" t="str">
        <f>HYPERLINK("http://141.218.60.56/~jnz1568/getInfo.php?workbook=10_02.xlsx&amp;sheet=A0&amp;row=699&amp;col=10&amp;number=0&amp;sourceID=32","0")</f>
        <v>0</v>
      </c>
      <c r="K699" s="4" t="str">
        <f>HYPERLINK("http://141.218.60.56/~jnz1568/getInfo.php?workbook=10_02.xlsx&amp;sheet=A0&amp;row=699&amp;col=11&amp;number=&amp;sourceID=46","")</f>
        <v/>
      </c>
      <c r="L699" s="4" t="str">
        <f>HYPERLINK("http://141.218.60.56/~jnz1568/getInfo.php?workbook=10_02.xlsx&amp;sheet=A0&amp;row=699&amp;col=12&amp;number=&amp;sourceID=47","")</f>
        <v/>
      </c>
    </row>
    <row r="700" spans="1:12">
      <c r="A700" s="3">
        <v>10</v>
      </c>
      <c r="B700" s="3">
        <v>2</v>
      </c>
      <c r="C700" s="3">
        <v>41</v>
      </c>
      <c r="D700" s="3">
        <v>35</v>
      </c>
      <c r="E700" s="3">
        <f>((1/(INDEX(E0!J$4:J$52,C700,1)-INDEX(E0!J$4:J$52,D700,1))))*100000000</f>
        <v>0</v>
      </c>
      <c r="F700" s="4" t="str">
        <f>HYPERLINK("http://141.218.60.56/~jnz1568/getInfo.php?workbook=10_02.xlsx&amp;sheet=A0&amp;row=700&amp;col=6&amp;number=&amp;sourceID=27","")</f>
        <v/>
      </c>
      <c r="G700" s="4" t="str">
        <f>HYPERLINK("http://141.218.60.56/~jnz1568/getInfo.php?workbook=10_02.xlsx&amp;sheet=A0&amp;row=700&amp;col=7&amp;number=&amp;sourceID=32","")</f>
        <v/>
      </c>
      <c r="H700" s="4" t="str">
        <f>HYPERLINK("http://141.218.60.56/~jnz1568/getInfo.php?workbook=10_02.xlsx&amp;sheet=A0&amp;row=700&amp;col=8&amp;number=0.0003852&amp;sourceID=32","0.0003852")</f>
        <v>0.0003852</v>
      </c>
      <c r="I700" s="4" t="str">
        <f>HYPERLINK("http://141.218.60.56/~jnz1568/getInfo.php?workbook=10_02.xlsx&amp;sheet=A0&amp;row=700&amp;col=9&amp;number=9.328e-10&amp;sourceID=32","9.328e-10")</f>
        <v>9.328e-10</v>
      </c>
      <c r="J700" s="4" t="str">
        <f>HYPERLINK("http://141.218.60.56/~jnz1568/getInfo.php?workbook=10_02.xlsx&amp;sheet=A0&amp;row=700&amp;col=10&amp;number=&amp;sourceID=32","")</f>
        <v/>
      </c>
      <c r="K700" s="4" t="str">
        <f>HYPERLINK("http://141.218.60.56/~jnz1568/getInfo.php?workbook=10_02.xlsx&amp;sheet=A0&amp;row=700&amp;col=11&amp;number=&amp;sourceID=46","")</f>
        <v/>
      </c>
      <c r="L700" s="4" t="str">
        <f>HYPERLINK("http://141.218.60.56/~jnz1568/getInfo.php?workbook=10_02.xlsx&amp;sheet=A0&amp;row=700&amp;col=12&amp;number=&amp;sourceID=47","")</f>
        <v/>
      </c>
    </row>
    <row r="701" spans="1:12">
      <c r="A701" s="3">
        <v>10</v>
      </c>
      <c r="B701" s="3">
        <v>2</v>
      </c>
      <c r="C701" s="3">
        <v>41</v>
      </c>
      <c r="D701" s="3">
        <v>36</v>
      </c>
      <c r="E701" s="3">
        <f>((1/(INDEX(E0!J$4:J$52,C701,1)-INDEX(E0!J$4:J$52,D701,1))))*100000000</f>
        <v>0</v>
      </c>
      <c r="F701" s="4" t="str">
        <f>HYPERLINK("http://141.218.60.56/~jnz1568/getInfo.php?workbook=10_02.xlsx&amp;sheet=A0&amp;row=701&amp;col=6&amp;number=&amp;sourceID=27","")</f>
        <v/>
      </c>
      <c r="G701" s="4" t="str">
        <f>HYPERLINK("http://141.218.60.56/~jnz1568/getInfo.php?workbook=10_02.xlsx&amp;sheet=A0&amp;row=701&amp;col=7&amp;number=&amp;sourceID=32","")</f>
        <v/>
      </c>
      <c r="H701" s="4" t="str">
        <f>HYPERLINK("http://141.218.60.56/~jnz1568/getInfo.php?workbook=10_02.xlsx&amp;sheet=A0&amp;row=701&amp;col=8&amp;number=4.506e-05&amp;sourceID=32","4.506e-05")</f>
        <v>4.506e-05</v>
      </c>
      <c r="I701" s="4" t="str">
        <f>HYPERLINK("http://141.218.60.56/~jnz1568/getInfo.php?workbook=10_02.xlsx&amp;sheet=A0&amp;row=701&amp;col=9&amp;number=8.516e-09&amp;sourceID=32","8.516e-09")</f>
        <v>8.516e-09</v>
      </c>
      <c r="J701" s="4" t="str">
        <f>HYPERLINK("http://141.218.60.56/~jnz1568/getInfo.php?workbook=10_02.xlsx&amp;sheet=A0&amp;row=701&amp;col=10&amp;number=&amp;sourceID=32","")</f>
        <v/>
      </c>
      <c r="K701" s="4" t="str">
        <f>HYPERLINK("http://141.218.60.56/~jnz1568/getInfo.php?workbook=10_02.xlsx&amp;sheet=A0&amp;row=701&amp;col=11&amp;number=&amp;sourceID=46","")</f>
        <v/>
      </c>
      <c r="L701" s="4" t="str">
        <f>HYPERLINK("http://141.218.60.56/~jnz1568/getInfo.php?workbook=10_02.xlsx&amp;sheet=A0&amp;row=701&amp;col=12&amp;number=&amp;sourceID=47","")</f>
        <v/>
      </c>
    </row>
    <row r="702" spans="1:12">
      <c r="A702" s="3">
        <v>10</v>
      </c>
      <c r="B702" s="3">
        <v>2</v>
      </c>
      <c r="C702" s="3">
        <v>41</v>
      </c>
      <c r="D702" s="3">
        <v>37</v>
      </c>
      <c r="E702" s="3">
        <f>((1/(INDEX(E0!J$4:J$52,C702,1)-INDEX(E0!J$4:J$52,D702,1))))*100000000</f>
        <v>0</v>
      </c>
      <c r="F702" s="4" t="str">
        <f>HYPERLINK("http://141.218.60.56/~jnz1568/getInfo.php?workbook=10_02.xlsx&amp;sheet=A0&amp;row=702&amp;col=6&amp;number=&amp;sourceID=27","")</f>
        <v/>
      </c>
      <c r="G702" s="4" t="str">
        <f>HYPERLINK("http://141.218.60.56/~jnz1568/getInfo.php?workbook=10_02.xlsx&amp;sheet=A0&amp;row=702&amp;col=7&amp;number=61.04&amp;sourceID=32","61.04")</f>
        <v>61.04</v>
      </c>
      <c r="H702" s="4" t="str">
        <f>HYPERLINK("http://141.218.60.56/~jnz1568/getInfo.php?workbook=10_02.xlsx&amp;sheet=A0&amp;row=702&amp;col=8&amp;number=&amp;sourceID=32","")</f>
        <v/>
      </c>
      <c r="I702" s="4" t="str">
        <f>HYPERLINK("http://141.218.60.56/~jnz1568/getInfo.php?workbook=10_02.xlsx&amp;sheet=A0&amp;row=702&amp;col=9&amp;number=&amp;sourceID=32","")</f>
        <v/>
      </c>
      <c r="J702" s="4" t="str">
        <f>HYPERLINK("http://141.218.60.56/~jnz1568/getInfo.php?workbook=10_02.xlsx&amp;sheet=A0&amp;row=702&amp;col=10&amp;number=5e-15&amp;sourceID=32","5e-15")</f>
        <v>5e-15</v>
      </c>
      <c r="K702" s="4" t="str">
        <f>HYPERLINK("http://141.218.60.56/~jnz1568/getInfo.php?workbook=10_02.xlsx&amp;sheet=A0&amp;row=702&amp;col=11&amp;number=68.312&amp;sourceID=46","68.312")</f>
        <v>68.312</v>
      </c>
      <c r="L702" s="4" t="str">
        <f>HYPERLINK("http://141.218.60.56/~jnz1568/getInfo.php?workbook=10_02.xlsx&amp;sheet=A0&amp;row=702&amp;col=12&amp;number=&amp;sourceID=47","")</f>
        <v/>
      </c>
    </row>
    <row r="703" spans="1:12">
      <c r="A703" s="3">
        <v>10</v>
      </c>
      <c r="B703" s="3">
        <v>2</v>
      </c>
      <c r="C703" s="3">
        <v>41</v>
      </c>
      <c r="D703" s="3">
        <v>38</v>
      </c>
      <c r="E703" s="3">
        <f>((1/(INDEX(E0!J$4:J$52,C703,1)-INDEX(E0!J$4:J$52,D703,1))))*100000000</f>
        <v>0</v>
      </c>
      <c r="F703" s="4" t="str">
        <f>HYPERLINK("http://141.218.60.56/~jnz1568/getInfo.php?workbook=10_02.xlsx&amp;sheet=A0&amp;row=703&amp;col=6&amp;number=&amp;sourceID=27","")</f>
        <v/>
      </c>
      <c r="G703" s="4" t="str">
        <f>HYPERLINK("http://141.218.60.56/~jnz1568/getInfo.php?workbook=10_02.xlsx&amp;sheet=A0&amp;row=703&amp;col=7&amp;number=9.928&amp;sourceID=32","9.928")</f>
        <v>9.928</v>
      </c>
      <c r="H703" s="4" t="str">
        <f>HYPERLINK("http://141.218.60.56/~jnz1568/getInfo.php?workbook=10_02.xlsx&amp;sheet=A0&amp;row=703&amp;col=8&amp;number=&amp;sourceID=32","")</f>
        <v/>
      </c>
      <c r="I703" s="4" t="str">
        <f>HYPERLINK("http://141.218.60.56/~jnz1568/getInfo.php?workbook=10_02.xlsx&amp;sheet=A0&amp;row=703&amp;col=9&amp;number=&amp;sourceID=32","")</f>
        <v/>
      </c>
      <c r="J703" s="4" t="str">
        <f>HYPERLINK("http://141.218.60.56/~jnz1568/getInfo.php?workbook=10_02.xlsx&amp;sheet=A0&amp;row=703&amp;col=10&amp;number=1e-15&amp;sourceID=32","1e-15")</f>
        <v>1e-15</v>
      </c>
      <c r="K703" s="4" t="str">
        <f>HYPERLINK("http://141.218.60.56/~jnz1568/getInfo.php?workbook=10_02.xlsx&amp;sheet=A0&amp;row=703&amp;col=11&amp;number=11.039&amp;sourceID=46","11.039")</f>
        <v>11.039</v>
      </c>
      <c r="L703" s="4" t="str">
        <f>HYPERLINK("http://141.218.60.56/~jnz1568/getInfo.php?workbook=10_02.xlsx&amp;sheet=A0&amp;row=703&amp;col=12&amp;number=&amp;sourceID=47","")</f>
        <v/>
      </c>
    </row>
    <row r="704" spans="1:12">
      <c r="A704" s="3">
        <v>10</v>
      </c>
      <c r="B704" s="3">
        <v>2</v>
      </c>
      <c r="C704" s="3">
        <v>41</v>
      </c>
      <c r="D704" s="3">
        <v>39</v>
      </c>
      <c r="E704" s="3">
        <f>((1/(INDEX(E0!J$4:J$52,C704,1)-INDEX(E0!J$4:J$52,D704,1))))*100000000</f>
        <v>0</v>
      </c>
      <c r="F704" s="4" t="str">
        <f>HYPERLINK("http://141.218.60.56/~jnz1568/getInfo.php?workbook=10_02.xlsx&amp;sheet=A0&amp;row=704&amp;col=6&amp;number=&amp;sourceID=27","")</f>
        <v/>
      </c>
      <c r="G704" s="4" t="str">
        <f>HYPERLINK("http://141.218.60.56/~jnz1568/getInfo.php?workbook=10_02.xlsx&amp;sheet=A0&amp;row=704&amp;col=7&amp;number=0.1681&amp;sourceID=32","0.1681")</f>
        <v>0.1681</v>
      </c>
      <c r="H704" s="4" t="str">
        <f>HYPERLINK("http://141.218.60.56/~jnz1568/getInfo.php?workbook=10_02.xlsx&amp;sheet=A0&amp;row=704&amp;col=8&amp;number=&amp;sourceID=32","")</f>
        <v/>
      </c>
      <c r="I704" s="4" t="str">
        <f>HYPERLINK("http://141.218.60.56/~jnz1568/getInfo.php?workbook=10_02.xlsx&amp;sheet=A0&amp;row=704&amp;col=9&amp;number=&amp;sourceID=32","")</f>
        <v/>
      </c>
      <c r="J704" s="4" t="str">
        <f>HYPERLINK("http://141.218.60.56/~jnz1568/getInfo.php?workbook=10_02.xlsx&amp;sheet=A0&amp;row=704&amp;col=10&amp;number=0&amp;sourceID=32","0")</f>
        <v>0</v>
      </c>
      <c r="K704" s="4" t="str">
        <f>HYPERLINK("http://141.218.60.56/~jnz1568/getInfo.php?workbook=10_02.xlsx&amp;sheet=A0&amp;row=704&amp;col=11&amp;number=&amp;sourceID=46","")</f>
        <v/>
      </c>
      <c r="L704" s="4" t="str">
        <f>HYPERLINK("http://141.218.60.56/~jnz1568/getInfo.php?workbook=10_02.xlsx&amp;sheet=A0&amp;row=704&amp;col=12&amp;number=&amp;sourceID=47","")</f>
        <v/>
      </c>
    </row>
    <row r="705" spans="1:12">
      <c r="A705" s="3">
        <v>10</v>
      </c>
      <c r="B705" s="3">
        <v>2</v>
      </c>
      <c r="C705" s="3">
        <v>42</v>
      </c>
      <c r="D705" s="3">
        <v>2</v>
      </c>
      <c r="E705" s="3">
        <f>((1/(INDEX(E0!J$4:J$52,C705,1)-INDEX(E0!J$4:J$52,D705,1))))*100000000</f>
        <v>0</v>
      </c>
      <c r="F705" s="4" t="str">
        <f>HYPERLINK("http://141.218.60.56/~jnz1568/getInfo.php?workbook=10_02.xlsx&amp;sheet=A0&amp;row=705&amp;col=6&amp;number=&amp;sourceID=27","")</f>
        <v/>
      </c>
      <c r="G705" s="4" t="str">
        <f>HYPERLINK("http://141.218.60.56/~jnz1568/getInfo.php?workbook=10_02.xlsx&amp;sheet=A0&amp;row=705&amp;col=7&amp;number=&amp;sourceID=32","")</f>
        <v/>
      </c>
      <c r="H705" s="4" t="str">
        <f>HYPERLINK("http://141.218.60.56/~jnz1568/getInfo.php?workbook=10_02.xlsx&amp;sheet=A0&amp;row=705&amp;col=8&amp;number=&amp;sourceID=32","")</f>
        <v/>
      </c>
      <c r="I705" s="4" t="str">
        <f>HYPERLINK("http://141.218.60.56/~jnz1568/getInfo.php?workbook=10_02.xlsx&amp;sheet=A0&amp;row=705&amp;col=9&amp;number=&amp;sourceID=32","")</f>
        <v/>
      </c>
      <c r="J705" s="4" t="str">
        <f>HYPERLINK("http://141.218.60.56/~jnz1568/getInfo.php?workbook=10_02.xlsx&amp;sheet=A0&amp;row=705&amp;col=10&amp;number=&amp;sourceID=32","")</f>
        <v/>
      </c>
      <c r="K705" s="4" t="str">
        <f>HYPERLINK("http://141.218.60.56/~jnz1568/getInfo.php?workbook=10_02.xlsx&amp;sheet=A0&amp;row=705&amp;col=11&amp;number=3871.1&amp;sourceID=46","3871.1")</f>
        <v>3871.1</v>
      </c>
      <c r="L705" s="4" t="str">
        <f>HYPERLINK("http://141.218.60.56/~jnz1568/getInfo.php?workbook=10_02.xlsx&amp;sheet=A0&amp;row=705&amp;col=12&amp;number=&amp;sourceID=47","")</f>
        <v/>
      </c>
    </row>
    <row r="706" spans="1:12">
      <c r="A706" s="3">
        <v>10</v>
      </c>
      <c r="B706" s="3">
        <v>2</v>
      </c>
      <c r="C706" s="3">
        <v>42</v>
      </c>
      <c r="D706" s="3">
        <v>5</v>
      </c>
      <c r="E706" s="3">
        <f>((1/(INDEX(E0!J$4:J$52,C706,1)-INDEX(E0!J$4:J$52,D706,1))))*100000000</f>
        <v>0</v>
      </c>
      <c r="F706" s="4" t="str">
        <f>HYPERLINK("http://141.218.60.56/~jnz1568/getInfo.php?workbook=10_02.xlsx&amp;sheet=A0&amp;row=706&amp;col=6&amp;number=&amp;sourceID=27","")</f>
        <v/>
      </c>
      <c r="G706" s="4" t="str">
        <f>HYPERLINK("http://141.218.60.56/~jnz1568/getInfo.php?workbook=10_02.xlsx&amp;sheet=A0&amp;row=706&amp;col=7&amp;number=&amp;sourceID=32","")</f>
        <v/>
      </c>
      <c r="H706" s="4" t="str">
        <f>HYPERLINK("http://141.218.60.56/~jnz1568/getInfo.php?workbook=10_02.xlsx&amp;sheet=A0&amp;row=706&amp;col=8&amp;number=&amp;sourceID=32","")</f>
        <v/>
      </c>
      <c r="I706" s="4" t="str">
        <f>HYPERLINK("http://141.218.60.56/~jnz1568/getInfo.php?workbook=10_02.xlsx&amp;sheet=A0&amp;row=706&amp;col=9&amp;number=&amp;sourceID=32","")</f>
        <v/>
      </c>
      <c r="J706" s="4" t="str">
        <f>HYPERLINK("http://141.218.60.56/~jnz1568/getInfo.php?workbook=10_02.xlsx&amp;sheet=A0&amp;row=706&amp;col=10&amp;number=&amp;sourceID=32","")</f>
        <v/>
      </c>
      <c r="K706" s="4" t="str">
        <f>HYPERLINK("http://141.218.60.56/~jnz1568/getInfo.php?workbook=10_02.xlsx&amp;sheet=A0&amp;row=706&amp;col=11&amp;number=22553000&amp;sourceID=46","22553000")</f>
        <v>22553000</v>
      </c>
      <c r="L706" s="4" t="str">
        <f>HYPERLINK("http://141.218.60.56/~jnz1568/getInfo.php?workbook=10_02.xlsx&amp;sheet=A0&amp;row=706&amp;col=12&amp;number=&amp;sourceID=47","")</f>
        <v/>
      </c>
    </row>
    <row r="707" spans="1:12">
      <c r="A707" s="3">
        <v>10</v>
      </c>
      <c r="B707" s="3">
        <v>2</v>
      </c>
      <c r="C707" s="3">
        <v>42</v>
      </c>
      <c r="D707" s="3">
        <v>8</v>
      </c>
      <c r="E707" s="3">
        <f>((1/(INDEX(E0!J$4:J$52,C707,1)-INDEX(E0!J$4:J$52,D707,1))))*100000000</f>
        <v>0</v>
      </c>
      <c r="F707" s="4" t="str">
        <f>HYPERLINK("http://141.218.60.56/~jnz1568/getInfo.php?workbook=10_02.xlsx&amp;sheet=A0&amp;row=707&amp;col=6&amp;number=&amp;sourceID=27","")</f>
        <v/>
      </c>
      <c r="G707" s="4" t="str">
        <f>HYPERLINK("http://141.218.60.56/~jnz1568/getInfo.php?workbook=10_02.xlsx&amp;sheet=A0&amp;row=707&amp;col=7&amp;number=&amp;sourceID=32","")</f>
        <v/>
      </c>
      <c r="H707" s="4" t="str">
        <f>HYPERLINK("http://141.218.60.56/~jnz1568/getInfo.php?workbook=10_02.xlsx&amp;sheet=A0&amp;row=707&amp;col=8&amp;number=&amp;sourceID=32","")</f>
        <v/>
      </c>
      <c r="I707" s="4" t="str">
        <f>HYPERLINK("http://141.218.60.56/~jnz1568/getInfo.php?workbook=10_02.xlsx&amp;sheet=A0&amp;row=707&amp;col=9&amp;number=&amp;sourceID=32","")</f>
        <v/>
      </c>
      <c r="J707" s="4" t="str">
        <f>HYPERLINK("http://141.218.60.56/~jnz1568/getInfo.php?workbook=10_02.xlsx&amp;sheet=A0&amp;row=707&amp;col=10&amp;number=&amp;sourceID=32","")</f>
        <v/>
      </c>
      <c r="K707" s="4" t="str">
        <f>HYPERLINK("http://141.218.60.56/~jnz1568/getInfo.php?workbook=10_02.xlsx&amp;sheet=A0&amp;row=707&amp;col=11&amp;number=34.916&amp;sourceID=46","34.916")</f>
        <v>34.916</v>
      </c>
      <c r="L707" s="4" t="str">
        <f>HYPERLINK("http://141.218.60.56/~jnz1568/getInfo.php?workbook=10_02.xlsx&amp;sheet=A0&amp;row=707&amp;col=12&amp;number=&amp;sourceID=47","")</f>
        <v/>
      </c>
    </row>
    <row r="708" spans="1:12">
      <c r="A708" s="3">
        <v>10</v>
      </c>
      <c r="B708" s="3">
        <v>2</v>
      </c>
      <c r="C708" s="3">
        <v>42</v>
      </c>
      <c r="D708" s="3">
        <v>12</v>
      </c>
      <c r="E708" s="3">
        <f>((1/(INDEX(E0!J$4:J$52,C708,1)-INDEX(E0!J$4:J$52,D708,1))))*100000000</f>
        <v>0</v>
      </c>
      <c r="F708" s="4" t="str">
        <f>HYPERLINK("http://141.218.60.56/~jnz1568/getInfo.php?workbook=10_02.xlsx&amp;sheet=A0&amp;row=708&amp;col=6&amp;number=&amp;sourceID=27","")</f>
        <v/>
      </c>
      <c r="G708" s="4" t="str">
        <f>HYPERLINK("http://141.218.60.56/~jnz1568/getInfo.php?workbook=10_02.xlsx&amp;sheet=A0&amp;row=708&amp;col=7&amp;number=&amp;sourceID=32","")</f>
        <v/>
      </c>
      <c r="H708" s="4" t="str">
        <f>HYPERLINK("http://141.218.60.56/~jnz1568/getInfo.php?workbook=10_02.xlsx&amp;sheet=A0&amp;row=708&amp;col=8&amp;number=&amp;sourceID=32","")</f>
        <v/>
      </c>
      <c r="I708" s="4" t="str">
        <f>HYPERLINK("http://141.218.60.56/~jnz1568/getInfo.php?workbook=10_02.xlsx&amp;sheet=A0&amp;row=708&amp;col=9&amp;number=&amp;sourceID=32","")</f>
        <v/>
      </c>
      <c r="J708" s="4" t="str">
        <f>HYPERLINK("http://141.218.60.56/~jnz1568/getInfo.php?workbook=10_02.xlsx&amp;sheet=A0&amp;row=708&amp;col=10&amp;number=&amp;sourceID=32","")</f>
        <v/>
      </c>
      <c r="K708" s="4" t="str">
        <f>HYPERLINK("http://141.218.60.56/~jnz1568/getInfo.php?workbook=10_02.xlsx&amp;sheet=A0&amp;row=708&amp;col=11&amp;number=38514&amp;sourceID=46","38514")</f>
        <v>38514</v>
      </c>
      <c r="L708" s="4" t="str">
        <f>HYPERLINK("http://141.218.60.56/~jnz1568/getInfo.php?workbook=10_02.xlsx&amp;sheet=A0&amp;row=708&amp;col=12&amp;number=&amp;sourceID=47","")</f>
        <v/>
      </c>
    </row>
    <row r="709" spans="1:12">
      <c r="A709" s="3">
        <v>10</v>
      </c>
      <c r="B709" s="3">
        <v>2</v>
      </c>
      <c r="C709" s="3">
        <v>42</v>
      </c>
      <c r="D709" s="3">
        <v>14</v>
      </c>
      <c r="E709" s="3">
        <f>((1/(INDEX(E0!J$4:J$52,C709,1)-INDEX(E0!J$4:J$52,D709,1))))*100000000</f>
        <v>0</v>
      </c>
      <c r="F709" s="4" t="str">
        <f>HYPERLINK("http://141.218.60.56/~jnz1568/getInfo.php?workbook=10_02.xlsx&amp;sheet=A0&amp;row=709&amp;col=6&amp;number=&amp;sourceID=27","")</f>
        <v/>
      </c>
      <c r="G709" s="4" t="str">
        <f>HYPERLINK("http://141.218.60.56/~jnz1568/getInfo.php?workbook=10_02.xlsx&amp;sheet=A0&amp;row=709&amp;col=7&amp;number=&amp;sourceID=32","")</f>
        <v/>
      </c>
      <c r="H709" s="4" t="str">
        <f>HYPERLINK("http://141.218.60.56/~jnz1568/getInfo.php?workbook=10_02.xlsx&amp;sheet=A0&amp;row=709&amp;col=8&amp;number=&amp;sourceID=32","")</f>
        <v/>
      </c>
      <c r="I709" s="4" t="str">
        <f>HYPERLINK("http://141.218.60.56/~jnz1568/getInfo.php?workbook=10_02.xlsx&amp;sheet=A0&amp;row=709&amp;col=9&amp;number=&amp;sourceID=32","")</f>
        <v/>
      </c>
      <c r="J709" s="4" t="str">
        <f>HYPERLINK("http://141.218.60.56/~jnz1568/getInfo.php?workbook=10_02.xlsx&amp;sheet=A0&amp;row=709&amp;col=10&amp;number=&amp;sourceID=32","")</f>
        <v/>
      </c>
      <c r="K709" s="4" t="str">
        <f>HYPERLINK("http://141.218.60.56/~jnz1568/getInfo.php?workbook=10_02.xlsx&amp;sheet=A0&amp;row=709&amp;col=11&amp;number=10.608&amp;sourceID=46","10.608")</f>
        <v>10.608</v>
      </c>
      <c r="L709" s="4" t="str">
        <f>HYPERLINK("http://141.218.60.56/~jnz1568/getInfo.php?workbook=10_02.xlsx&amp;sheet=A0&amp;row=709&amp;col=12&amp;number=&amp;sourceID=47","")</f>
        <v/>
      </c>
    </row>
    <row r="710" spans="1:12">
      <c r="A710" s="3">
        <v>10</v>
      </c>
      <c r="B710" s="3">
        <v>2</v>
      </c>
      <c r="C710" s="3">
        <v>42</v>
      </c>
      <c r="D710" s="3">
        <v>15</v>
      </c>
      <c r="E710" s="3">
        <f>((1/(INDEX(E0!J$4:J$52,C710,1)-INDEX(E0!J$4:J$52,D710,1))))*100000000</f>
        <v>0</v>
      </c>
      <c r="F710" s="4" t="str">
        <f>HYPERLINK("http://141.218.60.56/~jnz1568/getInfo.php?workbook=10_02.xlsx&amp;sheet=A0&amp;row=710&amp;col=6&amp;number=&amp;sourceID=27","")</f>
        <v/>
      </c>
      <c r="G710" s="4" t="str">
        <f>HYPERLINK("http://141.218.60.56/~jnz1568/getInfo.php?workbook=10_02.xlsx&amp;sheet=A0&amp;row=710&amp;col=7&amp;number=&amp;sourceID=32","")</f>
        <v/>
      </c>
      <c r="H710" s="4" t="str">
        <f>HYPERLINK("http://141.218.60.56/~jnz1568/getInfo.php?workbook=10_02.xlsx&amp;sheet=A0&amp;row=710&amp;col=8&amp;number=&amp;sourceID=32","")</f>
        <v/>
      </c>
      <c r="I710" s="4" t="str">
        <f>HYPERLINK("http://141.218.60.56/~jnz1568/getInfo.php?workbook=10_02.xlsx&amp;sheet=A0&amp;row=710&amp;col=9&amp;number=&amp;sourceID=32","")</f>
        <v/>
      </c>
      <c r="J710" s="4" t="str">
        <f>HYPERLINK("http://141.218.60.56/~jnz1568/getInfo.php?workbook=10_02.xlsx&amp;sheet=A0&amp;row=710&amp;col=10&amp;number=&amp;sourceID=32","")</f>
        <v/>
      </c>
      <c r="K710" s="4" t="str">
        <f>HYPERLINK("http://141.218.60.56/~jnz1568/getInfo.php?workbook=10_02.xlsx&amp;sheet=A0&amp;row=710&amp;col=11&amp;number=29903000000&amp;sourceID=46","29903000000")</f>
        <v>29903000000</v>
      </c>
      <c r="L710" s="4" t="str">
        <f>HYPERLINK("http://141.218.60.56/~jnz1568/getInfo.php?workbook=10_02.xlsx&amp;sheet=A0&amp;row=710&amp;col=12&amp;number=&amp;sourceID=47","")</f>
        <v/>
      </c>
    </row>
    <row r="711" spans="1:12">
      <c r="A711" s="3">
        <v>10</v>
      </c>
      <c r="B711" s="3">
        <v>2</v>
      </c>
      <c r="C711" s="3">
        <v>42</v>
      </c>
      <c r="D711" s="3">
        <v>16</v>
      </c>
      <c r="E711" s="3">
        <f>((1/(INDEX(E0!J$4:J$52,C711,1)-INDEX(E0!J$4:J$52,D711,1))))*100000000</f>
        <v>0</v>
      </c>
      <c r="F711" s="4" t="str">
        <f>HYPERLINK("http://141.218.60.56/~jnz1568/getInfo.php?workbook=10_02.xlsx&amp;sheet=A0&amp;row=711&amp;col=6&amp;number=&amp;sourceID=27","")</f>
        <v/>
      </c>
      <c r="G711" s="4" t="str">
        <f>HYPERLINK("http://141.218.60.56/~jnz1568/getInfo.php?workbook=10_02.xlsx&amp;sheet=A0&amp;row=711&amp;col=7&amp;number=&amp;sourceID=32","")</f>
        <v/>
      </c>
      <c r="H711" s="4" t="str">
        <f>HYPERLINK("http://141.218.60.56/~jnz1568/getInfo.php?workbook=10_02.xlsx&amp;sheet=A0&amp;row=711&amp;col=8&amp;number=&amp;sourceID=32","")</f>
        <v/>
      </c>
      <c r="I711" s="4" t="str">
        <f>HYPERLINK("http://141.218.60.56/~jnz1568/getInfo.php?workbook=10_02.xlsx&amp;sheet=A0&amp;row=711&amp;col=9&amp;number=&amp;sourceID=32","")</f>
        <v/>
      </c>
      <c r="J711" s="4" t="str">
        <f>HYPERLINK("http://141.218.60.56/~jnz1568/getInfo.php?workbook=10_02.xlsx&amp;sheet=A0&amp;row=711&amp;col=10&amp;number=&amp;sourceID=32","")</f>
        <v/>
      </c>
      <c r="K711" s="4" t="str">
        <f>HYPERLINK("http://141.218.60.56/~jnz1568/getInfo.php?workbook=10_02.xlsx&amp;sheet=A0&amp;row=711&amp;col=11&amp;number=46.554&amp;sourceID=46","46.554")</f>
        <v>46.554</v>
      </c>
      <c r="L711" s="4" t="str">
        <f>HYPERLINK("http://141.218.60.56/~jnz1568/getInfo.php?workbook=10_02.xlsx&amp;sheet=A0&amp;row=711&amp;col=12&amp;number=&amp;sourceID=47","")</f>
        <v/>
      </c>
    </row>
    <row r="712" spans="1:12">
      <c r="A712" s="3">
        <v>10</v>
      </c>
      <c r="B712" s="3">
        <v>2</v>
      </c>
      <c r="C712" s="3">
        <v>42</v>
      </c>
      <c r="D712" s="3">
        <v>18</v>
      </c>
      <c r="E712" s="3">
        <f>((1/(INDEX(E0!J$4:J$52,C712,1)-INDEX(E0!J$4:J$52,D712,1))))*100000000</f>
        <v>0</v>
      </c>
      <c r="F712" s="4" t="str">
        <f>HYPERLINK("http://141.218.60.56/~jnz1568/getInfo.php?workbook=10_02.xlsx&amp;sheet=A0&amp;row=712&amp;col=6&amp;number=&amp;sourceID=27","")</f>
        <v/>
      </c>
      <c r="G712" s="4" t="str">
        <f>HYPERLINK("http://141.218.60.56/~jnz1568/getInfo.php?workbook=10_02.xlsx&amp;sheet=A0&amp;row=712&amp;col=7&amp;number=&amp;sourceID=32","")</f>
        <v/>
      </c>
      <c r="H712" s="4" t="str">
        <f>HYPERLINK("http://141.218.60.56/~jnz1568/getInfo.php?workbook=10_02.xlsx&amp;sheet=A0&amp;row=712&amp;col=8&amp;number=&amp;sourceID=32","")</f>
        <v/>
      </c>
      <c r="I712" s="4" t="str">
        <f>HYPERLINK("http://141.218.60.56/~jnz1568/getInfo.php?workbook=10_02.xlsx&amp;sheet=A0&amp;row=712&amp;col=9&amp;number=&amp;sourceID=32","")</f>
        <v/>
      </c>
      <c r="J712" s="4" t="str">
        <f>HYPERLINK("http://141.218.60.56/~jnz1568/getInfo.php?workbook=10_02.xlsx&amp;sheet=A0&amp;row=712&amp;col=10&amp;number=&amp;sourceID=32","")</f>
        <v/>
      </c>
      <c r="K712" s="4" t="str">
        <f>HYPERLINK("http://141.218.60.56/~jnz1568/getInfo.php?workbook=10_02.xlsx&amp;sheet=A0&amp;row=712&amp;col=11&amp;number=7.3575&amp;sourceID=46","7.3575")</f>
        <v>7.3575</v>
      </c>
      <c r="L712" s="4" t="str">
        <f>HYPERLINK("http://141.218.60.56/~jnz1568/getInfo.php?workbook=10_02.xlsx&amp;sheet=A0&amp;row=712&amp;col=12&amp;number=&amp;sourceID=47","")</f>
        <v/>
      </c>
    </row>
    <row r="713" spans="1:12">
      <c r="A713" s="3">
        <v>10</v>
      </c>
      <c r="B713" s="3">
        <v>2</v>
      </c>
      <c r="C713" s="3">
        <v>42</v>
      </c>
      <c r="D713" s="3">
        <v>22</v>
      </c>
      <c r="E713" s="3">
        <f>((1/(INDEX(E0!J$4:J$52,C713,1)-INDEX(E0!J$4:J$52,D713,1))))*100000000</f>
        <v>0</v>
      </c>
      <c r="F713" s="4" t="str">
        <f>HYPERLINK("http://141.218.60.56/~jnz1568/getInfo.php?workbook=10_02.xlsx&amp;sheet=A0&amp;row=713&amp;col=6&amp;number=&amp;sourceID=27","")</f>
        <v/>
      </c>
      <c r="G713" s="4" t="str">
        <f>HYPERLINK("http://141.218.60.56/~jnz1568/getInfo.php?workbook=10_02.xlsx&amp;sheet=A0&amp;row=713&amp;col=7&amp;number=&amp;sourceID=32","")</f>
        <v/>
      </c>
      <c r="H713" s="4" t="str">
        <f>HYPERLINK("http://141.218.60.56/~jnz1568/getInfo.php?workbook=10_02.xlsx&amp;sheet=A0&amp;row=713&amp;col=8&amp;number=&amp;sourceID=32","")</f>
        <v/>
      </c>
      <c r="I713" s="4" t="str">
        <f>HYPERLINK("http://141.218.60.56/~jnz1568/getInfo.php?workbook=10_02.xlsx&amp;sheet=A0&amp;row=713&amp;col=9&amp;number=&amp;sourceID=32","")</f>
        <v/>
      </c>
      <c r="J713" s="4" t="str">
        <f>HYPERLINK("http://141.218.60.56/~jnz1568/getInfo.php?workbook=10_02.xlsx&amp;sheet=A0&amp;row=713&amp;col=10&amp;number=&amp;sourceID=32","")</f>
        <v/>
      </c>
      <c r="K713" s="4" t="str">
        <f>HYPERLINK("http://141.218.60.56/~jnz1568/getInfo.php?workbook=10_02.xlsx&amp;sheet=A0&amp;row=713&amp;col=11&amp;number=534130&amp;sourceID=46","534130")</f>
        <v>534130</v>
      </c>
      <c r="L713" s="4" t="str">
        <f>HYPERLINK("http://141.218.60.56/~jnz1568/getInfo.php?workbook=10_02.xlsx&amp;sheet=A0&amp;row=713&amp;col=12&amp;number=&amp;sourceID=47","")</f>
        <v/>
      </c>
    </row>
    <row r="714" spans="1:12">
      <c r="A714" s="3">
        <v>10</v>
      </c>
      <c r="B714" s="3">
        <v>2</v>
      </c>
      <c r="C714" s="3">
        <v>42</v>
      </c>
      <c r="D714" s="3">
        <v>24</v>
      </c>
      <c r="E714" s="3">
        <f>((1/(INDEX(E0!J$4:J$52,C714,1)-INDEX(E0!J$4:J$52,D714,1))))*100000000</f>
        <v>0</v>
      </c>
      <c r="F714" s="4" t="str">
        <f>HYPERLINK("http://141.218.60.56/~jnz1568/getInfo.php?workbook=10_02.xlsx&amp;sheet=A0&amp;row=714&amp;col=6&amp;number=&amp;sourceID=27","")</f>
        <v/>
      </c>
      <c r="G714" s="4" t="str">
        <f>HYPERLINK("http://141.218.60.56/~jnz1568/getInfo.php?workbook=10_02.xlsx&amp;sheet=A0&amp;row=714&amp;col=7&amp;number=&amp;sourceID=32","")</f>
        <v/>
      </c>
      <c r="H714" s="4" t="str">
        <f>HYPERLINK("http://141.218.60.56/~jnz1568/getInfo.php?workbook=10_02.xlsx&amp;sheet=A0&amp;row=714&amp;col=8&amp;number=&amp;sourceID=32","")</f>
        <v/>
      </c>
      <c r="I714" s="4" t="str">
        <f>HYPERLINK("http://141.218.60.56/~jnz1568/getInfo.php?workbook=10_02.xlsx&amp;sheet=A0&amp;row=714&amp;col=9&amp;number=&amp;sourceID=32","")</f>
        <v/>
      </c>
      <c r="J714" s="4" t="str">
        <f>HYPERLINK("http://141.218.60.56/~jnz1568/getInfo.php?workbook=10_02.xlsx&amp;sheet=A0&amp;row=714&amp;col=10&amp;number=&amp;sourceID=32","")</f>
        <v/>
      </c>
      <c r="K714" s="4" t="str">
        <f>HYPERLINK("http://141.218.60.56/~jnz1568/getInfo.php?workbook=10_02.xlsx&amp;sheet=A0&amp;row=714&amp;col=11&amp;number=1.6654&amp;sourceID=46","1.6654")</f>
        <v>1.6654</v>
      </c>
      <c r="L714" s="4" t="str">
        <f>HYPERLINK("http://141.218.60.56/~jnz1568/getInfo.php?workbook=10_02.xlsx&amp;sheet=A0&amp;row=714&amp;col=12&amp;number=&amp;sourceID=47","")</f>
        <v/>
      </c>
    </row>
    <row r="715" spans="1:12">
      <c r="A715" s="3">
        <v>10</v>
      </c>
      <c r="B715" s="3">
        <v>2</v>
      </c>
      <c r="C715" s="3">
        <v>42</v>
      </c>
      <c r="D715" s="3">
        <v>25</v>
      </c>
      <c r="E715" s="3">
        <f>((1/(INDEX(E0!J$4:J$52,C715,1)-INDEX(E0!J$4:J$52,D715,1))))*100000000</f>
        <v>0</v>
      </c>
      <c r="F715" s="4" t="str">
        <f>HYPERLINK("http://141.218.60.56/~jnz1568/getInfo.php?workbook=10_02.xlsx&amp;sheet=A0&amp;row=715&amp;col=6&amp;number=&amp;sourceID=27","")</f>
        <v/>
      </c>
      <c r="G715" s="4" t="str">
        <f>HYPERLINK("http://141.218.60.56/~jnz1568/getInfo.php?workbook=10_02.xlsx&amp;sheet=A0&amp;row=715&amp;col=7&amp;number=&amp;sourceID=32","")</f>
        <v/>
      </c>
      <c r="H715" s="4" t="str">
        <f>HYPERLINK("http://141.218.60.56/~jnz1568/getInfo.php?workbook=10_02.xlsx&amp;sheet=A0&amp;row=715&amp;col=8&amp;number=&amp;sourceID=32","")</f>
        <v/>
      </c>
      <c r="I715" s="4" t="str">
        <f>HYPERLINK("http://141.218.60.56/~jnz1568/getInfo.php?workbook=10_02.xlsx&amp;sheet=A0&amp;row=715&amp;col=9&amp;number=&amp;sourceID=32","")</f>
        <v/>
      </c>
      <c r="J715" s="4" t="str">
        <f>HYPERLINK("http://141.218.60.56/~jnz1568/getInfo.php?workbook=10_02.xlsx&amp;sheet=A0&amp;row=715&amp;col=10&amp;number=&amp;sourceID=32","")</f>
        <v/>
      </c>
      <c r="K715" s="4" t="str">
        <f>HYPERLINK("http://141.218.60.56/~jnz1568/getInfo.php?workbook=10_02.xlsx&amp;sheet=A0&amp;row=715&amp;col=11&amp;number=16961000000&amp;sourceID=46","16961000000")</f>
        <v>16961000000</v>
      </c>
      <c r="L715" s="4" t="str">
        <f>HYPERLINK("http://141.218.60.56/~jnz1568/getInfo.php?workbook=10_02.xlsx&amp;sheet=A0&amp;row=715&amp;col=12&amp;number=&amp;sourceID=47","")</f>
        <v/>
      </c>
    </row>
    <row r="716" spans="1:12">
      <c r="A716" s="3">
        <v>10</v>
      </c>
      <c r="B716" s="3">
        <v>2</v>
      </c>
      <c r="C716" s="3">
        <v>42</v>
      </c>
      <c r="D716" s="3">
        <v>26</v>
      </c>
      <c r="E716" s="3">
        <f>((1/(INDEX(E0!J$4:J$52,C716,1)-INDEX(E0!J$4:J$52,D716,1))))*100000000</f>
        <v>0</v>
      </c>
      <c r="F716" s="4" t="str">
        <f>HYPERLINK("http://141.218.60.56/~jnz1568/getInfo.php?workbook=10_02.xlsx&amp;sheet=A0&amp;row=716&amp;col=6&amp;number=&amp;sourceID=27","")</f>
        <v/>
      </c>
      <c r="G716" s="4" t="str">
        <f>HYPERLINK("http://141.218.60.56/~jnz1568/getInfo.php?workbook=10_02.xlsx&amp;sheet=A0&amp;row=716&amp;col=7&amp;number=&amp;sourceID=32","")</f>
        <v/>
      </c>
      <c r="H716" s="4" t="str">
        <f>HYPERLINK("http://141.218.60.56/~jnz1568/getInfo.php?workbook=10_02.xlsx&amp;sheet=A0&amp;row=716&amp;col=8&amp;number=&amp;sourceID=32","")</f>
        <v/>
      </c>
      <c r="I716" s="4" t="str">
        <f>HYPERLINK("http://141.218.60.56/~jnz1568/getInfo.php?workbook=10_02.xlsx&amp;sheet=A0&amp;row=716&amp;col=9&amp;number=&amp;sourceID=32","")</f>
        <v/>
      </c>
      <c r="J716" s="4" t="str">
        <f>HYPERLINK("http://141.218.60.56/~jnz1568/getInfo.php?workbook=10_02.xlsx&amp;sheet=A0&amp;row=716&amp;col=10&amp;number=&amp;sourceID=32","")</f>
        <v/>
      </c>
      <c r="K716" s="4" t="str">
        <f>HYPERLINK("http://141.218.60.56/~jnz1568/getInfo.php?workbook=10_02.xlsx&amp;sheet=A0&amp;row=716&amp;col=11&amp;number=8515.7&amp;sourceID=46","8515.7")</f>
        <v>8515.7</v>
      </c>
      <c r="L716" s="4" t="str">
        <f>HYPERLINK("http://141.218.60.56/~jnz1568/getInfo.php?workbook=10_02.xlsx&amp;sheet=A0&amp;row=716&amp;col=12&amp;number=&amp;sourceID=47","")</f>
        <v/>
      </c>
    </row>
    <row r="717" spans="1:12">
      <c r="A717" s="3">
        <v>10</v>
      </c>
      <c r="B717" s="3">
        <v>2</v>
      </c>
      <c r="C717" s="3">
        <v>42</v>
      </c>
      <c r="D717" s="3">
        <v>27</v>
      </c>
      <c r="E717" s="3">
        <f>((1/(INDEX(E0!J$4:J$52,C717,1)-INDEX(E0!J$4:J$52,D717,1))))*100000000</f>
        <v>0</v>
      </c>
      <c r="F717" s="4" t="str">
        <f>HYPERLINK("http://141.218.60.56/~jnz1568/getInfo.php?workbook=10_02.xlsx&amp;sheet=A0&amp;row=717&amp;col=6&amp;number=&amp;sourceID=27","")</f>
        <v/>
      </c>
      <c r="G717" s="4" t="str">
        <f>HYPERLINK("http://141.218.60.56/~jnz1568/getInfo.php?workbook=10_02.xlsx&amp;sheet=A0&amp;row=717&amp;col=7&amp;number=&amp;sourceID=32","")</f>
        <v/>
      </c>
      <c r="H717" s="4" t="str">
        <f>HYPERLINK("http://141.218.60.56/~jnz1568/getInfo.php?workbook=10_02.xlsx&amp;sheet=A0&amp;row=717&amp;col=8&amp;number=&amp;sourceID=32","")</f>
        <v/>
      </c>
      <c r="I717" s="4" t="str">
        <f>HYPERLINK("http://141.218.60.56/~jnz1568/getInfo.php?workbook=10_02.xlsx&amp;sheet=A0&amp;row=717&amp;col=9&amp;number=&amp;sourceID=32","")</f>
        <v/>
      </c>
      <c r="J717" s="4" t="str">
        <f>HYPERLINK("http://141.218.60.56/~jnz1568/getInfo.php?workbook=10_02.xlsx&amp;sheet=A0&amp;row=717&amp;col=10&amp;number=&amp;sourceID=32","")</f>
        <v/>
      </c>
      <c r="K717" s="4" t="str">
        <f>HYPERLINK("http://141.218.60.56/~jnz1568/getInfo.php?workbook=10_02.xlsx&amp;sheet=A0&amp;row=717&amp;col=11&amp;number=643.92&amp;sourceID=46","643.92")</f>
        <v>643.92</v>
      </c>
      <c r="L717" s="4" t="str">
        <f>HYPERLINK("http://141.218.60.56/~jnz1568/getInfo.php?workbook=10_02.xlsx&amp;sheet=A0&amp;row=717&amp;col=12&amp;number=&amp;sourceID=47","")</f>
        <v/>
      </c>
    </row>
    <row r="718" spans="1:12">
      <c r="A718" s="3">
        <v>10</v>
      </c>
      <c r="B718" s="3">
        <v>2</v>
      </c>
      <c r="C718" s="3">
        <v>42</v>
      </c>
      <c r="D718" s="3">
        <v>28</v>
      </c>
      <c r="E718" s="3">
        <f>((1/(INDEX(E0!J$4:J$52,C718,1)-INDEX(E0!J$4:J$52,D718,1))))*100000000</f>
        <v>0</v>
      </c>
      <c r="F718" s="4" t="str">
        <f>HYPERLINK("http://141.218.60.56/~jnz1568/getInfo.php?workbook=10_02.xlsx&amp;sheet=A0&amp;row=718&amp;col=6&amp;number=&amp;sourceID=27","")</f>
        <v/>
      </c>
      <c r="G718" s="4" t="str">
        <f>HYPERLINK("http://141.218.60.56/~jnz1568/getInfo.php?workbook=10_02.xlsx&amp;sheet=A0&amp;row=718&amp;col=7&amp;number=&amp;sourceID=32","")</f>
        <v/>
      </c>
      <c r="H718" s="4" t="str">
        <f>HYPERLINK("http://141.218.60.56/~jnz1568/getInfo.php?workbook=10_02.xlsx&amp;sheet=A0&amp;row=718&amp;col=8&amp;number=&amp;sourceID=32","")</f>
        <v/>
      </c>
      <c r="I718" s="4" t="str">
        <f>HYPERLINK("http://141.218.60.56/~jnz1568/getInfo.php?workbook=10_02.xlsx&amp;sheet=A0&amp;row=718&amp;col=9&amp;number=&amp;sourceID=32","")</f>
        <v/>
      </c>
      <c r="J718" s="4" t="str">
        <f>HYPERLINK("http://141.218.60.56/~jnz1568/getInfo.php?workbook=10_02.xlsx&amp;sheet=A0&amp;row=718&amp;col=10&amp;number=&amp;sourceID=32","")</f>
        <v/>
      </c>
      <c r="K718" s="4" t="str">
        <f>HYPERLINK("http://141.218.60.56/~jnz1568/getInfo.php?workbook=10_02.xlsx&amp;sheet=A0&amp;row=718&amp;col=11&amp;number=66536&amp;sourceID=46","66536")</f>
        <v>66536</v>
      </c>
      <c r="L718" s="4" t="str">
        <f>HYPERLINK("http://141.218.60.56/~jnz1568/getInfo.php?workbook=10_02.xlsx&amp;sheet=A0&amp;row=718&amp;col=12&amp;number=&amp;sourceID=47","")</f>
        <v/>
      </c>
    </row>
    <row r="719" spans="1:12">
      <c r="A719" s="3">
        <v>10</v>
      </c>
      <c r="B719" s="3">
        <v>2</v>
      </c>
      <c r="C719" s="3">
        <v>42</v>
      </c>
      <c r="D719" s="3">
        <v>29</v>
      </c>
      <c r="E719" s="3">
        <f>((1/(INDEX(E0!J$4:J$52,C719,1)-INDEX(E0!J$4:J$52,D719,1))))*100000000</f>
        <v>0</v>
      </c>
      <c r="F719" s="4" t="str">
        <f>HYPERLINK("http://141.218.60.56/~jnz1568/getInfo.php?workbook=10_02.xlsx&amp;sheet=A0&amp;row=719&amp;col=6&amp;number=&amp;sourceID=27","")</f>
        <v/>
      </c>
      <c r="G719" s="4" t="str">
        <f>HYPERLINK("http://141.218.60.56/~jnz1568/getInfo.php?workbook=10_02.xlsx&amp;sheet=A0&amp;row=719&amp;col=7&amp;number=&amp;sourceID=32","")</f>
        <v/>
      </c>
      <c r="H719" s="4" t="str">
        <f>HYPERLINK("http://141.218.60.56/~jnz1568/getInfo.php?workbook=10_02.xlsx&amp;sheet=A0&amp;row=719&amp;col=8&amp;number=&amp;sourceID=32","")</f>
        <v/>
      </c>
      <c r="I719" s="4" t="str">
        <f>HYPERLINK("http://141.218.60.56/~jnz1568/getInfo.php?workbook=10_02.xlsx&amp;sheet=A0&amp;row=719&amp;col=9&amp;number=&amp;sourceID=32","")</f>
        <v/>
      </c>
      <c r="J719" s="4" t="str">
        <f>HYPERLINK("http://141.218.60.56/~jnz1568/getInfo.php?workbook=10_02.xlsx&amp;sheet=A0&amp;row=719&amp;col=10&amp;number=&amp;sourceID=32","")</f>
        <v/>
      </c>
      <c r="K719" s="4" t="str">
        <f>HYPERLINK("http://141.218.60.56/~jnz1568/getInfo.php?workbook=10_02.xlsx&amp;sheet=A0&amp;row=719&amp;col=11&amp;number=2.7535&amp;sourceID=46","2.7535")</f>
        <v>2.7535</v>
      </c>
      <c r="L719" s="4" t="str">
        <f>HYPERLINK("http://141.218.60.56/~jnz1568/getInfo.php?workbook=10_02.xlsx&amp;sheet=A0&amp;row=719&amp;col=12&amp;number=&amp;sourceID=47","")</f>
        <v/>
      </c>
    </row>
    <row r="720" spans="1:12">
      <c r="A720" s="3">
        <v>10</v>
      </c>
      <c r="B720" s="3">
        <v>2</v>
      </c>
      <c r="C720" s="3">
        <v>42</v>
      </c>
      <c r="D720" s="3">
        <v>30</v>
      </c>
      <c r="E720" s="3">
        <f>((1/(INDEX(E0!J$4:J$52,C720,1)-INDEX(E0!J$4:J$52,D720,1))))*100000000</f>
        <v>0</v>
      </c>
      <c r="F720" s="4" t="str">
        <f>HYPERLINK("http://141.218.60.56/~jnz1568/getInfo.php?workbook=10_02.xlsx&amp;sheet=A0&amp;row=720&amp;col=6&amp;number=&amp;sourceID=27","")</f>
        <v/>
      </c>
      <c r="G720" s="4" t="str">
        <f>HYPERLINK("http://141.218.60.56/~jnz1568/getInfo.php?workbook=10_02.xlsx&amp;sheet=A0&amp;row=720&amp;col=7&amp;number=&amp;sourceID=32","")</f>
        <v/>
      </c>
      <c r="H720" s="4" t="str">
        <f>HYPERLINK("http://141.218.60.56/~jnz1568/getInfo.php?workbook=10_02.xlsx&amp;sheet=A0&amp;row=720&amp;col=8&amp;number=&amp;sourceID=32","")</f>
        <v/>
      </c>
      <c r="I720" s="4" t="str">
        <f>HYPERLINK("http://141.218.60.56/~jnz1568/getInfo.php?workbook=10_02.xlsx&amp;sheet=A0&amp;row=720&amp;col=9&amp;number=&amp;sourceID=32","")</f>
        <v/>
      </c>
      <c r="J720" s="4" t="str">
        <f>HYPERLINK("http://141.218.60.56/~jnz1568/getInfo.php?workbook=10_02.xlsx&amp;sheet=A0&amp;row=720&amp;col=10&amp;number=&amp;sourceID=32","")</f>
        <v/>
      </c>
      <c r="K720" s="4" t="str">
        <f>HYPERLINK("http://141.218.60.56/~jnz1568/getInfo.php?workbook=10_02.xlsx&amp;sheet=A0&amp;row=720&amp;col=11&amp;number=5600.2&amp;sourceID=46","5600.2")</f>
        <v>5600.2</v>
      </c>
      <c r="L720" s="4" t="str">
        <f>HYPERLINK("http://141.218.60.56/~jnz1568/getInfo.php?workbook=10_02.xlsx&amp;sheet=A0&amp;row=720&amp;col=12&amp;number=&amp;sourceID=47","")</f>
        <v/>
      </c>
    </row>
    <row r="721" spans="1:12">
      <c r="A721" s="3">
        <v>10</v>
      </c>
      <c r="B721" s="3">
        <v>2</v>
      </c>
      <c r="C721" s="3">
        <v>42</v>
      </c>
      <c r="D721" s="3">
        <v>39</v>
      </c>
      <c r="E721" s="3">
        <f>((1/(INDEX(E0!J$4:J$52,C721,1)-INDEX(E0!J$4:J$52,D721,1))))*100000000</f>
        <v>0</v>
      </c>
      <c r="F721" s="4" t="str">
        <f>HYPERLINK("http://141.218.60.56/~jnz1568/getInfo.php?workbook=10_02.xlsx&amp;sheet=A0&amp;row=721&amp;col=6&amp;number=&amp;sourceID=27","")</f>
        <v/>
      </c>
      <c r="G721" s="4" t="str">
        <f>HYPERLINK("http://141.218.60.56/~jnz1568/getInfo.php?workbook=10_02.xlsx&amp;sheet=A0&amp;row=721&amp;col=7&amp;number=&amp;sourceID=32","")</f>
        <v/>
      </c>
      <c r="H721" s="4" t="str">
        <f>HYPERLINK("http://141.218.60.56/~jnz1568/getInfo.php?workbook=10_02.xlsx&amp;sheet=A0&amp;row=721&amp;col=8&amp;number=&amp;sourceID=32","")</f>
        <v/>
      </c>
      <c r="I721" s="4" t="str">
        <f>HYPERLINK("http://141.218.60.56/~jnz1568/getInfo.php?workbook=10_02.xlsx&amp;sheet=A0&amp;row=721&amp;col=9&amp;number=&amp;sourceID=32","")</f>
        <v/>
      </c>
      <c r="J721" s="4" t="str">
        <f>HYPERLINK("http://141.218.60.56/~jnz1568/getInfo.php?workbook=10_02.xlsx&amp;sheet=A0&amp;row=721&amp;col=10&amp;number=&amp;sourceID=32","")</f>
        <v/>
      </c>
      <c r="K721" s="4" t="str">
        <f>HYPERLINK("http://141.218.60.56/~jnz1568/getInfo.php?workbook=10_02.xlsx&amp;sheet=A0&amp;row=721&amp;col=11&amp;number=61.164&amp;sourceID=46","61.164")</f>
        <v>61.164</v>
      </c>
      <c r="L721" s="4" t="str">
        <f>HYPERLINK("http://141.218.60.56/~jnz1568/getInfo.php?workbook=10_02.xlsx&amp;sheet=A0&amp;row=721&amp;col=12&amp;number=&amp;sourceID=47","")</f>
        <v/>
      </c>
    </row>
    <row r="722" spans="1:12">
      <c r="A722" s="3">
        <v>10</v>
      </c>
      <c r="B722" s="3">
        <v>2</v>
      </c>
      <c r="C722" s="3">
        <v>43</v>
      </c>
      <c r="D722" s="3">
        <v>1</v>
      </c>
      <c r="E722" s="3"/>
      <c r="F722" s="4" t="str">
        <f>HYPERLINK("http://141.218.60.56/~jnz1568/getInfo.php?workbook=10_02.xlsx&amp;sheet=A0&amp;row=722&amp;col=6&amp;number=&amp;sourceID=27","")</f>
        <v/>
      </c>
      <c r="G722" s="4" t="str">
        <f>HYPERLINK("http://141.218.60.56/~jnz1568/getInfo.php?workbook=10_02.xlsx&amp;sheet=A0&amp;row=722&amp;col=7&amp;number=&amp;sourceID=32","")</f>
        <v/>
      </c>
      <c r="H722" s="4" t="str">
        <f>HYPERLINK("http://141.218.60.56/~jnz1568/getInfo.php?workbook=10_02.xlsx&amp;sheet=A0&amp;row=722&amp;col=8&amp;number=199200000&amp;sourceID=32","199200000")</f>
        <v>199200000</v>
      </c>
      <c r="I722" s="4" t="str">
        <f>HYPERLINK("http://141.218.60.56/~jnz1568/getInfo.php?workbook=10_02.xlsx&amp;sheet=A0&amp;row=722&amp;col=9&amp;number=&amp;sourceID=32","")</f>
        <v/>
      </c>
      <c r="J722" s="4" t="str">
        <f>HYPERLINK("http://141.218.60.56/~jnz1568/getInfo.php?workbook=10_02.xlsx&amp;sheet=A0&amp;row=722&amp;col=10&amp;number=&amp;sourceID=32","")</f>
        <v/>
      </c>
      <c r="K722" s="4" t="str">
        <f>HYPERLINK("http://141.218.60.56/~jnz1568/getInfo.php?workbook=10_02.xlsx&amp;sheet=A0&amp;row=722&amp;col=11&amp;number=201240000&amp;sourceID=46","201240000")</f>
        <v>201240000</v>
      </c>
      <c r="L722" s="4" t="str">
        <f>HYPERLINK("http://141.218.60.56/~jnz1568/getInfo.php?workbook=10_02.xlsx&amp;sheet=A0&amp;row=722&amp;col=12&amp;number=&amp;sourceID=47","")</f>
        <v/>
      </c>
    </row>
    <row r="723" spans="1:12">
      <c r="A723" s="3">
        <v>10</v>
      </c>
      <c r="B723" s="3">
        <v>2</v>
      </c>
      <c r="C723" s="3">
        <v>43</v>
      </c>
      <c r="D723" s="3">
        <v>2</v>
      </c>
      <c r="E723" s="3"/>
      <c r="F723" s="4" t="str">
        <f>HYPERLINK("http://141.218.60.56/~jnz1568/getInfo.php?workbook=10_02.xlsx&amp;sheet=A0&amp;row=723&amp;col=6&amp;number=&amp;sourceID=27","")</f>
        <v/>
      </c>
      <c r="G723" s="4" t="str">
        <f>HYPERLINK("http://141.218.60.56/~jnz1568/getInfo.php?workbook=10_02.xlsx&amp;sheet=A0&amp;row=723&amp;col=7&amp;number=&amp;sourceID=32","")</f>
        <v/>
      </c>
      <c r="H723" s="4" t="str">
        <f>HYPERLINK("http://141.218.60.56/~jnz1568/getInfo.php?workbook=10_02.xlsx&amp;sheet=A0&amp;row=723&amp;col=8&amp;number=32950&amp;sourceID=32","32950")</f>
        <v>32950</v>
      </c>
      <c r="I723" s="4" t="str">
        <f>HYPERLINK("http://141.218.60.56/~jnz1568/getInfo.php?workbook=10_02.xlsx&amp;sheet=A0&amp;row=723&amp;col=9&amp;number=0.07072&amp;sourceID=32","0.07072")</f>
        <v>0.07072</v>
      </c>
      <c r="J723" s="4" t="str">
        <f>HYPERLINK("http://141.218.60.56/~jnz1568/getInfo.php?workbook=10_02.xlsx&amp;sheet=A0&amp;row=723&amp;col=10&amp;number=&amp;sourceID=32","")</f>
        <v/>
      </c>
      <c r="K723" s="4" t="str">
        <f>HYPERLINK("http://141.218.60.56/~jnz1568/getInfo.php?workbook=10_02.xlsx&amp;sheet=A0&amp;row=723&amp;col=11&amp;number=16496&amp;sourceID=46","16496")</f>
        <v>16496</v>
      </c>
      <c r="L723" s="4" t="str">
        <f>HYPERLINK("http://141.218.60.56/~jnz1568/getInfo.php?workbook=10_02.xlsx&amp;sheet=A0&amp;row=723&amp;col=12&amp;number=&amp;sourceID=47","")</f>
        <v/>
      </c>
    </row>
    <row r="724" spans="1:12">
      <c r="A724" s="3">
        <v>10</v>
      </c>
      <c r="B724" s="3">
        <v>2</v>
      </c>
      <c r="C724" s="3">
        <v>43</v>
      </c>
      <c r="D724" s="3">
        <v>3</v>
      </c>
      <c r="E724" s="3"/>
      <c r="F724" s="4" t="str">
        <f>HYPERLINK("http://141.218.60.56/~jnz1568/getInfo.php?workbook=10_02.xlsx&amp;sheet=A0&amp;row=724&amp;col=6&amp;number=&amp;sourceID=27","")</f>
        <v/>
      </c>
      <c r="G724" s="4" t="str">
        <f>HYPERLINK("http://141.218.60.56/~jnz1568/getInfo.php?workbook=10_02.xlsx&amp;sheet=A0&amp;row=724&amp;col=7&amp;number=&amp;sourceID=32","")</f>
        <v/>
      </c>
      <c r="H724" s="4" t="str">
        <f>HYPERLINK("http://141.218.60.56/~jnz1568/getInfo.php?workbook=10_02.xlsx&amp;sheet=A0&amp;row=724&amp;col=8&amp;number=&amp;sourceID=32","")</f>
        <v/>
      </c>
      <c r="I724" s="4" t="str">
        <f>HYPERLINK("http://141.218.60.56/~jnz1568/getInfo.php?workbook=10_02.xlsx&amp;sheet=A0&amp;row=724&amp;col=9&amp;number=&amp;sourceID=32","")</f>
        <v/>
      </c>
      <c r="J724" s="4" t="str">
        <f>HYPERLINK("http://141.218.60.56/~jnz1568/getInfo.php?workbook=10_02.xlsx&amp;sheet=A0&amp;row=724&amp;col=10&amp;number=398.9&amp;sourceID=32","398.9")</f>
        <v>398.9</v>
      </c>
      <c r="K724" s="4" t="str">
        <f>HYPERLINK("http://141.218.60.56/~jnz1568/getInfo.php?workbook=10_02.xlsx&amp;sheet=A0&amp;row=724&amp;col=11&amp;number=391.35&amp;sourceID=46","391.35")</f>
        <v>391.35</v>
      </c>
      <c r="L724" s="4" t="str">
        <f>HYPERLINK("http://141.218.60.56/~jnz1568/getInfo.php?workbook=10_02.xlsx&amp;sheet=A0&amp;row=724&amp;col=12&amp;number=&amp;sourceID=47","")</f>
        <v/>
      </c>
    </row>
    <row r="725" spans="1:12">
      <c r="A725" s="3">
        <v>10</v>
      </c>
      <c r="B725" s="3">
        <v>2</v>
      </c>
      <c r="C725" s="3">
        <v>43</v>
      </c>
      <c r="D725" s="3">
        <v>4</v>
      </c>
      <c r="E725" s="3"/>
      <c r="F725" s="4" t="str">
        <f>HYPERLINK("http://141.218.60.56/~jnz1568/getInfo.php?workbook=10_02.xlsx&amp;sheet=A0&amp;row=725&amp;col=6&amp;number=&amp;sourceID=27","")</f>
        <v/>
      </c>
      <c r="G725" s="4" t="str">
        <f>HYPERLINK("http://141.218.60.56/~jnz1568/getInfo.php?workbook=10_02.xlsx&amp;sheet=A0&amp;row=725&amp;col=7&amp;number=800500000&amp;sourceID=32","800500000")</f>
        <v>800500000</v>
      </c>
      <c r="H725" s="4" t="str">
        <f>HYPERLINK("http://141.218.60.56/~jnz1568/getInfo.php?workbook=10_02.xlsx&amp;sheet=A0&amp;row=725&amp;col=8&amp;number=&amp;sourceID=32","")</f>
        <v/>
      </c>
      <c r="I725" s="4" t="str">
        <f>HYPERLINK("http://141.218.60.56/~jnz1568/getInfo.php?workbook=10_02.xlsx&amp;sheet=A0&amp;row=725&amp;col=9&amp;number=&amp;sourceID=32","")</f>
        <v/>
      </c>
      <c r="J725" s="4" t="str">
        <f>HYPERLINK("http://141.218.60.56/~jnz1568/getInfo.php?workbook=10_02.xlsx&amp;sheet=A0&amp;row=725&amp;col=10&amp;number=1039&amp;sourceID=32","1039")</f>
        <v>1039</v>
      </c>
      <c r="K725" s="4" t="str">
        <f>HYPERLINK("http://141.218.60.56/~jnz1568/getInfo.php?workbook=10_02.xlsx&amp;sheet=A0&amp;row=725&amp;col=11&amp;number=460070000&amp;sourceID=46","460070000")</f>
        <v>460070000</v>
      </c>
      <c r="L725" s="4" t="str">
        <f>HYPERLINK("http://141.218.60.56/~jnz1568/getInfo.php?workbook=10_02.xlsx&amp;sheet=A0&amp;row=725&amp;col=12&amp;number=&amp;sourceID=47","")</f>
        <v/>
      </c>
    </row>
    <row r="726" spans="1:12">
      <c r="A726" s="3">
        <v>10</v>
      </c>
      <c r="B726" s="3">
        <v>2</v>
      </c>
      <c r="C726" s="3">
        <v>43</v>
      </c>
      <c r="D726" s="3">
        <v>5</v>
      </c>
      <c r="E726" s="3"/>
      <c r="F726" s="4" t="str">
        <f>HYPERLINK("http://141.218.60.56/~jnz1568/getInfo.php?workbook=10_02.xlsx&amp;sheet=A0&amp;row=726&amp;col=6&amp;number=&amp;sourceID=27","")</f>
        <v/>
      </c>
      <c r="G726" s="4" t="str">
        <f>HYPERLINK("http://141.218.60.56/~jnz1568/getInfo.php?workbook=10_02.xlsx&amp;sheet=A0&amp;row=726&amp;col=7&amp;number=392600000&amp;sourceID=32","392600000")</f>
        <v>392600000</v>
      </c>
      <c r="H726" s="4" t="str">
        <f>HYPERLINK("http://141.218.60.56/~jnz1568/getInfo.php?workbook=10_02.xlsx&amp;sheet=A0&amp;row=726&amp;col=8&amp;number=&amp;sourceID=32","")</f>
        <v/>
      </c>
      <c r="I726" s="4" t="str">
        <f>HYPERLINK("http://141.218.60.56/~jnz1568/getInfo.php?workbook=10_02.xlsx&amp;sheet=A0&amp;row=726&amp;col=9&amp;number=&amp;sourceID=32","")</f>
        <v/>
      </c>
      <c r="J726" s="4" t="str">
        <f>HYPERLINK("http://141.218.60.56/~jnz1568/getInfo.php?workbook=10_02.xlsx&amp;sheet=A0&amp;row=726&amp;col=10&amp;number=780.5&amp;sourceID=32","780.5")</f>
        <v>780.5</v>
      </c>
      <c r="K726" s="4" t="str">
        <f>HYPERLINK("http://141.218.60.56/~jnz1568/getInfo.php?workbook=10_02.xlsx&amp;sheet=A0&amp;row=726&amp;col=11&amp;number=243900000&amp;sourceID=46","243900000")</f>
        <v>243900000</v>
      </c>
      <c r="L726" s="4" t="str">
        <f>HYPERLINK("http://141.218.60.56/~jnz1568/getInfo.php?workbook=10_02.xlsx&amp;sheet=A0&amp;row=726&amp;col=12&amp;number=&amp;sourceID=47","")</f>
        <v/>
      </c>
    </row>
    <row r="727" spans="1:12">
      <c r="A727" s="3">
        <v>10</v>
      </c>
      <c r="B727" s="3">
        <v>2</v>
      </c>
      <c r="C727" s="3">
        <v>43</v>
      </c>
      <c r="D727" s="3">
        <v>6</v>
      </c>
      <c r="E727" s="3"/>
      <c r="F727" s="4" t="str">
        <f>HYPERLINK("http://141.218.60.56/~jnz1568/getInfo.php?workbook=10_02.xlsx&amp;sheet=A0&amp;row=727&amp;col=6&amp;number=&amp;sourceID=27","")</f>
        <v/>
      </c>
      <c r="G727" s="4" t="str">
        <f>HYPERLINK("http://141.218.60.56/~jnz1568/getInfo.php?workbook=10_02.xlsx&amp;sheet=A0&amp;row=727&amp;col=7&amp;number=&amp;sourceID=32","")</f>
        <v/>
      </c>
      <c r="H727" s="4" t="str">
        <f>HYPERLINK("http://141.218.60.56/~jnz1568/getInfo.php?workbook=10_02.xlsx&amp;sheet=A0&amp;row=727&amp;col=8&amp;number=728800&amp;sourceID=32","728800")</f>
        <v>728800</v>
      </c>
      <c r="I727" s="4" t="str">
        <f>HYPERLINK("http://141.218.60.56/~jnz1568/getInfo.php?workbook=10_02.xlsx&amp;sheet=A0&amp;row=727&amp;col=9&amp;number=&amp;sourceID=32","")</f>
        <v/>
      </c>
      <c r="J727" s="4" t="str">
        <f>HYPERLINK("http://141.218.60.56/~jnz1568/getInfo.php?workbook=10_02.xlsx&amp;sheet=A0&amp;row=727&amp;col=10&amp;number=&amp;sourceID=32","")</f>
        <v/>
      </c>
      <c r="K727" s="4" t="str">
        <f>HYPERLINK("http://141.218.60.56/~jnz1568/getInfo.php?workbook=10_02.xlsx&amp;sheet=A0&amp;row=727&amp;col=11&amp;number=938950&amp;sourceID=46","938950")</f>
        <v>938950</v>
      </c>
      <c r="L727" s="4" t="str">
        <f>HYPERLINK("http://141.218.60.56/~jnz1568/getInfo.php?workbook=10_02.xlsx&amp;sheet=A0&amp;row=727&amp;col=12&amp;number=&amp;sourceID=47","")</f>
        <v/>
      </c>
    </row>
    <row r="728" spans="1:12">
      <c r="A728" s="3">
        <v>10</v>
      </c>
      <c r="B728" s="3">
        <v>2</v>
      </c>
      <c r="C728" s="3">
        <v>43</v>
      </c>
      <c r="D728" s="3">
        <v>7</v>
      </c>
      <c r="E728" s="3"/>
      <c r="F728" s="4" t="str">
        <f>HYPERLINK("http://141.218.60.56/~jnz1568/getInfo.php?workbook=10_02.xlsx&amp;sheet=A0&amp;row=728&amp;col=6&amp;number=&amp;sourceID=27","")</f>
        <v/>
      </c>
      <c r="G728" s="4" t="str">
        <f>HYPERLINK("http://141.218.60.56/~jnz1568/getInfo.php?workbook=10_02.xlsx&amp;sheet=A0&amp;row=728&amp;col=7&amp;number=58560000000&amp;sourceID=32","58560000000")</f>
        <v>58560000000</v>
      </c>
      <c r="H728" s="4" t="str">
        <f>HYPERLINK("http://141.218.60.56/~jnz1568/getInfo.php?workbook=10_02.xlsx&amp;sheet=A0&amp;row=728&amp;col=8&amp;number=&amp;sourceID=32","")</f>
        <v/>
      </c>
      <c r="I728" s="4" t="str">
        <f>HYPERLINK("http://141.218.60.56/~jnz1568/getInfo.php?workbook=10_02.xlsx&amp;sheet=A0&amp;row=728&amp;col=9&amp;number=&amp;sourceID=32","")</f>
        <v/>
      </c>
      <c r="J728" s="4" t="str">
        <f>HYPERLINK("http://141.218.60.56/~jnz1568/getInfo.php?workbook=10_02.xlsx&amp;sheet=A0&amp;row=728&amp;col=10&amp;number=750.8&amp;sourceID=32","750.8")</f>
        <v>750.8</v>
      </c>
      <c r="K728" s="4" t="str">
        <f>HYPERLINK("http://141.218.60.56/~jnz1568/getInfo.php?workbook=10_02.xlsx&amp;sheet=A0&amp;row=728&amp;col=11&amp;number=60833000000&amp;sourceID=46","60833000000")</f>
        <v>60833000000</v>
      </c>
      <c r="L728" s="4" t="str">
        <f>HYPERLINK("http://141.218.60.56/~jnz1568/getInfo.php?workbook=10_02.xlsx&amp;sheet=A0&amp;row=728&amp;col=12&amp;number=&amp;sourceID=47","")</f>
        <v/>
      </c>
    </row>
    <row r="729" spans="1:12">
      <c r="A729" s="3">
        <v>10</v>
      </c>
      <c r="B729" s="3">
        <v>2</v>
      </c>
      <c r="C729" s="3">
        <v>43</v>
      </c>
      <c r="D729" s="3">
        <v>8</v>
      </c>
      <c r="E729" s="3"/>
      <c r="F729" s="4" t="str">
        <f>HYPERLINK("http://141.218.60.56/~jnz1568/getInfo.php?workbook=10_02.xlsx&amp;sheet=A0&amp;row=729&amp;col=6&amp;number=&amp;sourceID=27","")</f>
        <v/>
      </c>
      <c r="G729" s="4" t="str">
        <f>HYPERLINK("http://141.218.60.56/~jnz1568/getInfo.php?workbook=10_02.xlsx&amp;sheet=A0&amp;row=729&amp;col=7&amp;number=&amp;sourceID=32","")</f>
        <v/>
      </c>
      <c r="H729" s="4" t="str">
        <f>HYPERLINK("http://141.218.60.56/~jnz1568/getInfo.php?workbook=10_02.xlsx&amp;sheet=A0&amp;row=729&amp;col=8&amp;number=19420&amp;sourceID=32","19420")</f>
        <v>19420</v>
      </c>
      <c r="I729" s="4" t="str">
        <f>HYPERLINK("http://141.218.60.56/~jnz1568/getInfo.php?workbook=10_02.xlsx&amp;sheet=A0&amp;row=729&amp;col=9&amp;number=0.001209&amp;sourceID=32","0.001209")</f>
        <v>0.001209</v>
      </c>
      <c r="J729" s="4" t="str">
        <f>HYPERLINK("http://141.218.60.56/~jnz1568/getInfo.php?workbook=10_02.xlsx&amp;sheet=A0&amp;row=729&amp;col=10&amp;number=&amp;sourceID=32","")</f>
        <v/>
      </c>
      <c r="K729" s="4" t="str">
        <f>HYPERLINK("http://141.218.60.56/~jnz1568/getInfo.php?workbook=10_02.xlsx&amp;sheet=A0&amp;row=729&amp;col=11&amp;number=11936&amp;sourceID=46","11936")</f>
        <v>11936</v>
      </c>
      <c r="L729" s="4" t="str">
        <f>HYPERLINK("http://141.218.60.56/~jnz1568/getInfo.php?workbook=10_02.xlsx&amp;sheet=A0&amp;row=729&amp;col=12&amp;number=&amp;sourceID=47","")</f>
        <v/>
      </c>
    </row>
    <row r="730" spans="1:12">
      <c r="A730" s="3">
        <v>10</v>
      </c>
      <c r="B730" s="3">
        <v>2</v>
      </c>
      <c r="C730" s="3">
        <v>43</v>
      </c>
      <c r="D730" s="3">
        <v>9</v>
      </c>
      <c r="E730" s="3"/>
      <c r="F730" s="4" t="str">
        <f>HYPERLINK("http://141.218.60.56/~jnz1568/getInfo.php?workbook=10_02.xlsx&amp;sheet=A0&amp;row=730&amp;col=6&amp;number=&amp;sourceID=27","")</f>
        <v/>
      </c>
      <c r="G730" s="4" t="str">
        <f>HYPERLINK("http://141.218.60.56/~jnz1568/getInfo.php?workbook=10_02.xlsx&amp;sheet=A0&amp;row=730&amp;col=7&amp;number=&amp;sourceID=32","")</f>
        <v/>
      </c>
      <c r="H730" s="4" t="str">
        <f>HYPERLINK("http://141.218.60.56/~jnz1568/getInfo.php?workbook=10_02.xlsx&amp;sheet=A0&amp;row=730&amp;col=8&amp;number=&amp;sourceID=32","")</f>
        <v/>
      </c>
      <c r="I730" s="4" t="str">
        <f>HYPERLINK("http://141.218.60.56/~jnz1568/getInfo.php?workbook=10_02.xlsx&amp;sheet=A0&amp;row=730&amp;col=9&amp;number=&amp;sourceID=32","")</f>
        <v/>
      </c>
      <c r="J730" s="4" t="str">
        <f>HYPERLINK("http://141.218.60.56/~jnz1568/getInfo.php?workbook=10_02.xlsx&amp;sheet=A0&amp;row=730&amp;col=10&amp;number=15.27&amp;sourceID=32","15.27")</f>
        <v>15.27</v>
      </c>
      <c r="K730" s="4" t="str">
        <f>HYPERLINK("http://141.218.60.56/~jnz1568/getInfo.php?workbook=10_02.xlsx&amp;sheet=A0&amp;row=730&amp;col=11&amp;number=15.023&amp;sourceID=46","15.023")</f>
        <v>15.023</v>
      </c>
      <c r="L730" s="4" t="str">
        <f>HYPERLINK("http://141.218.60.56/~jnz1568/getInfo.php?workbook=10_02.xlsx&amp;sheet=A0&amp;row=730&amp;col=12&amp;number=&amp;sourceID=47","")</f>
        <v/>
      </c>
    </row>
    <row r="731" spans="1:12">
      <c r="A731" s="3">
        <v>10</v>
      </c>
      <c r="B731" s="3">
        <v>2</v>
      </c>
      <c r="C731" s="3">
        <v>43</v>
      </c>
      <c r="D731" s="3">
        <v>10</v>
      </c>
      <c r="E731" s="3"/>
      <c r="F731" s="4" t="str">
        <f>HYPERLINK("http://141.218.60.56/~jnz1568/getInfo.php?workbook=10_02.xlsx&amp;sheet=A0&amp;row=731&amp;col=6&amp;number=&amp;sourceID=27","")</f>
        <v/>
      </c>
      <c r="G731" s="4" t="str">
        <f>HYPERLINK("http://141.218.60.56/~jnz1568/getInfo.php?workbook=10_02.xlsx&amp;sheet=A0&amp;row=731&amp;col=7&amp;number=263500000&amp;sourceID=32","263500000")</f>
        <v>263500000</v>
      </c>
      <c r="H731" s="4" t="str">
        <f>HYPERLINK("http://141.218.60.56/~jnz1568/getInfo.php?workbook=10_02.xlsx&amp;sheet=A0&amp;row=731&amp;col=8&amp;number=&amp;sourceID=32","")</f>
        <v/>
      </c>
      <c r="I731" s="4" t="str">
        <f>HYPERLINK("http://141.218.60.56/~jnz1568/getInfo.php?workbook=10_02.xlsx&amp;sheet=A0&amp;row=731&amp;col=9&amp;number=&amp;sourceID=32","")</f>
        <v/>
      </c>
      <c r="J731" s="4" t="str">
        <f>HYPERLINK("http://141.218.60.56/~jnz1568/getInfo.php?workbook=10_02.xlsx&amp;sheet=A0&amp;row=731&amp;col=10&amp;number=39.65&amp;sourceID=32","39.65")</f>
        <v>39.65</v>
      </c>
      <c r="K731" s="4" t="str">
        <f>HYPERLINK("http://141.218.60.56/~jnz1568/getInfo.php?workbook=10_02.xlsx&amp;sheet=A0&amp;row=731&amp;col=11&amp;number=156030000&amp;sourceID=46","156030000")</f>
        <v>156030000</v>
      </c>
      <c r="L731" s="4" t="str">
        <f>HYPERLINK("http://141.218.60.56/~jnz1568/getInfo.php?workbook=10_02.xlsx&amp;sheet=A0&amp;row=731&amp;col=12&amp;number=&amp;sourceID=47","")</f>
        <v/>
      </c>
    </row>
    <row r="732" spans="1:12">
      <c r="A732" s="3">
        <v>10</v>
      </c>
      <c r="B732" s="3">
        <v>2</v>
      </c>
      <c r="C732" s="3">
        <v>43</v>
      </c>
      <c r="D732" s="3">
        <v>11</v>
      </c>
      <c r="E732" s="3"/>
      <c r="F732" s="4" t="str">
        <f>HYPERLINK("http://141.218.60.56/~jnz1568/getInfo.php?workbook=10_02.xlsx&amp;sheet=A0&amp;row=732&amp;col=6&amp;number=&amp;sourceID=27","")</f>
        <v/>
      </c>
      <c r="G732" s="4" t="str">
        <f>HYPERLINK("http://141.218.60.56/~jnz1568/getInfo.php?workbook=10_02.xlsx&amp;sheet=A0&amp;row=732&amp;col=7&amp;number=&amp;sourceID=32","")</f>
        <v/>
      </c>
      <c r="H732" s="4" t="str">
        <f>HYPERLINK("http://141.218.60.56/~jnz1568/getInfo.php?workbook=10_02.xlsx&amp;sheet=A0&amp;row=732&amp;col=8&amp;number=645600&amp;sourceID=32","645600")</f>
        <v>645600</v>
      </c>
      <c r="I732" s="4" t="str">
        <f>HYPERLINK("http://141.218.60.56/~jnz1568/getInfo.php?workbook=10_02.xlsx&amp;sheet=A0&amp;row=732&amp;col=9&amp;number=&amp;sourceID=32","")</f>
        <v/>
      </c>
      <c r="J732" s="4" t="str">
        <f>HYPERLINK("http://141.218.60.56/~jnz1568/getInfo.php?workbook=10_02.xlsx&amp;sheet=A0&amp;row=732&amp;col=10&amp;number=&amp;sourceID=32","")</f>
        <v/>
      </c>
      <c r="K732" s="4" t="str">
        <f>HYPERLINK("http://141.218.60.56/~jnz1568/getInfo.php?workbook=10_02.xlsx&amp;sheet=A0&amp;row=732&amp;col=11&amp;number=661410&amp;sourceID=46","661410")</f>
        <v>661410</v>
      </c>
      <c r="L732" s="4" t="str">
        <f>HYPERLINK("http://141.218.60.56/~jnz1568/getInfo.php?workbook=10_02.xlsx&amp;sheet=A0&amp;row=732&amp;col=12&amp;number=&amp;sourceID=47","")</f>
        <v/>
      </c>
    </row>
    <row r="733" spans="1:12">
      <c r="A733" s="3">
        <v>10</v>
      </c>
      <c r="B733" s="3">
        <v>2</v>
      </c>
      <c r="C733" s="3">
        <v>43</v>
      </c>
      <c r="D733" s="3">
        <v>12</v>
      </c>
      <c r="E733" s="3"/>
      <c r="F733" s="4" t="str">
        <f>HYPERLINK("http://141.218.60.56/~jnz1568/getInfo.php?workbook=10_02.xlsx&amp;sheet=A0&amp;row=733&amp;col=6&amp;number=&amp;sourceID=27","")</f>
        <v/>
      </c>
      <c r="G733" s="4" t="str">
        <f>HYPERLINK("http://141.218.60.56/~jnz1568/getInfo.php?workbook=10_02.xlsx&amp;sheet=A0&amp;row=733&amp;col=7&amp;number=133400000&amp;sourceID=32","133400000")</f>
        <v>133400000</v>
      </c>
      <c r="H733" s="4" t="str">
        <f>HYPERLINK("http://141.218.60.56/~jnz1568/getInfo.php?workbook=10_02.xlsx&amp;sheet=A0&amp;row=733&amp;col=8&amp;number=&amp;sourceID=32","")</f>
        <v/>
      </c>
      <c r="I733" s="4" t="str">
        <f>HYPERLINK("http://141.218.60.56/~jnz1568/getInfo.php?workbook=10_02.xlsx&amp;sheet=A0&amp;row=733&amp;col=9&amp;number=&amp;sourceID=32","")</f>
        <v/>
      </c>
      <c r="J733" s="4" t="str">
        <f>HYPERLINK("http://141.218.60.56/~jnz1568/getInfo.php?workbook=10_02.xlsx&amp;sheet=A0&amp;row=733&amp;col=10&amp;number=29.94&amp;sourceID=32","29.94")</f>
        <v>29.94</v>
      </c>
      <c r="K733" s="4" t="str">
        <f>HYPERLINK("http://141.218.60.56/~jnz1568/getInfo.php?workbook=10_02.xlsx&amp;sheet=A0&amp;row=733&amp;col=11&amp;number=82920000&amp;sourceID=46","82920000")</f>
        <v>82920000</v>
      </c>
      <c r="L733" s="4" t="str">
        <f>HYPERLINK("http://141.218.60.56/~jnz1568/getInfo.php?workbook=10_02.xlsx&amp;sheet=A0&amp;row=733&amp;col=12&amp;number=&amp;sourceID=47","")</f>
        <v/>
      </c>
    </row>
    <row r="734" spans="1:12">
      <c r="A734" s="3">
        <v>10</v>
      </c>
      <c r="B734" s="3">
        <v>2</v>
      </c>
      <c r="C734" s="3">
        <v>43</v>
      </c>
      <c r="D734" s="3">
        <v>13</v>
      </c>
      <c r="E734" s="3"/>
      <c r="F734" s="4" t="str">
        <f>HYPERLINK("http://141.218.60.56/~jnz1568/getInfo.php?workbook=10_02.xlsx&amp;sheet=A0&amp;row=734&amp;col=6&amp;number=&amp;sourceID=27","")</f>
        <v/>
      </c>
      <c r="G734" s="4" t="str">
        <f>HYPERLINK("http://141.218.60.56/~jnz1568/getInfo.php?workbook=10_02.xlsx&amp;sheet=A0&amp;row=734&amp;col=7&amp;number=&amp;sourceID=32","")</f>
        <v/>
      </c>
      <c r="H734" s="4" t="str">
        <f>HYPERLINK("http://141.218.60.56/~jnz1568/getInfo.php?workbook=10_02.xlsx&amp;sheet=A0&amp;row=734&amp;col=8&amp;number=2533&amp;sourceID=32","2533")</f>
        <v>2533</v>
      </c>
      <c r="I734" s="4" t="str">
        <f>HYPERLINK("http://141.218.60.56/~jnz1568/getInfo.php?workbook=10_02.xlsx&amp;sheet=A0&amp;row=734&amp;col=9&amp;number=0.01762&amp;sourceID=32","0.01762")</f>
        <v>0.01762</v>
      </c>
      <c r="J734" s="4" t="str">
        <f>HYPERLINK("http://141.218.60.56/~jnz1568/getInfo.php?workbook=10_02.xlsx&amp;sheet=A0&amp;row=734&amp;col=10&amp;number=&amp;sourceID=32","")</f>
        <v/>
      </c>
      <c r="K734" s="4" t="str">
        <f>HYPERLINK("http://141.218.60.56/~jnz1568/getInfo.php?workbook=10_02.xlsx&amp;sheet=A0&amp;row=734&amp;col=11&amp;number=1581.1&amp;sourceID=46","1581.1")</f>
        <v>1581.1</v>
      </c>
      <c r="L734" s="4" t="str">
        <f>HYPERLINK("http://141.218.60.56/~jnz1568/getInfo.php?workbook=10_02.xlsx&amp;sheet=A0&amp;row=734&amp;col=12&amp;number=&amp;sourceID=47","")</f>
        <v/>
      </c>
    </row>
    <row r="735" spans="1:12">
      <c r="A735" s="3">
        <v>10</v>
      </c>
      <c r="B735" s="3">
        <v>2</v>
      </c>
      <c r="C735" s="3">
        <v>43</v>
      </c>
      <c r="D735" s="3">
        <v>14</v>
      </c>
      <c r="E735" s="3"/>
      <c r="F735" s="4" t="str">
        <f>HYPERLINK("http://141.218.60.56/~jnz1568/getInfo.php?workbook=10_02.xlsx&amp;sheet=A0&amp;row=735&amp;col=6&amp;number=&amp;sourceID=27","")</f>
        <v/>
      </c>
      <c r="G735" s="4" t="str">
        <f>HYPERLINK("http://141.218.60.56/~jnz1568/getInfo.php?workbook=10_02.xlsx&amp;sheet=A0&amp;row=735&amp;col=7&amp;number=&amp;sourceID=32","")</f>
        <v/>
      </c>
      <c r="H735" s="4" t="str">
        <f>HYPERLINK("http://141.218.60.56/~jnz1568/getInfo.php?workbook=10_02.xlsx&amp;sheet=A0&amp;row=735&amp;col=8&amp;number=5079&amp;sourceID=32","5079")</f>
        <v>5079</v>
      </c>
      <c r="I735" s="4" t="str">
        <f>HYPERLINK("http://141.218.60.56/~jnz1568/getInfo.php?workbook=10_02.xlsx&amp;sheet=A0&amp;row=735&amp;col=9&amp;number=0.0004922&amp;sourceID=32","0.0004922")</f>
        <v>0.0004922</v>
      </c>
      <c r="J735" s="4" t="str">
        <f>HYPERLINK("http://141.218.60.56/~jnz1568/getInfo.php?workbook=10_02.xlsx&amp;sheet=A0&amp;row=735&amp;col=10&amp;number=&amp;sourceID=32","")</f>
        <v/>
      </c>
      <c r="K735" s="4" t="str">
        <f>HYPERLINK("http://141.218.60.56/~jnz1568/getInfo.php?workbook=10_02.xlsx&amp;sheet=A0&amp;row=735&amp;col=11&amp;number=3334.4&amp;sourceID=46","3334.4")</f>
        <v>3334.4</v>
      </c>
      <c r="L735" s="4" t="str">
        <f>HYPERLINK("http://141.218.60.56/~jnz1568/getInfo.php?workbook=10_02.xlsx&amp;sheet=A0&amp;row=735&amp;col=12&amp;number=&amp;sourceID=47","")</f>
        <v/>
      </c>
    </row>
    <row r="736" spans="1:12">
      <c r="A736" s="3">
        <v>10</v>
      </c>
      <c r="B736" s="3">
        <v>2</v>
      </c>
      <c r="C736" s="3">
        <v>43</v>
      </c>
      <c r="D736" s="3">
        <v>15</v>
      </c>
      <c r="E736" s="3"/>
      <c r="F736" s="4" t="str">
        <f>HYPERLINK("http://141.218.60.56/~jnz1568/getInfo.php?workbook=10_02.xlsx&amp;sheet=A0&amp;row=736&amp;col=6&amp;number=&amp;sourceID=27","")</f>
        <v/>
      </c>
      <c r="G736" s="4" t="str">
        <f>HYPERLINK("http://141.218.60.56/~jnz1568/getInfo.php?workbook=10_02.xlsx&amp;sheet=A0&amp;row=736&amp;col=7&amp;number=&amp;sourceID=32","")</f>
        <v/>
      </c>
      <c r="H736" s="4" t="str">
        <f>HYPERLINK("http://141.218.60.56/~jnz1568/getInfo.php?workbook=10_02.xlsx&amp;sheet=A0&amp;row=736&amp;col=8&amp;number=2889&amp;sourceID=32","2889")</f>
        <v>2889</v>
      </c>
      <c r="I736" s="4" t="str">
        <f>HYPERLINK("http://141.218.60.56/~jnz1568/getInfo.php?workbook=10_02.xlsx&amp;sheet=A0&amp;row=736&amp;col=9&amp;number=0.1047&amp;sourceID=32","0.1047")</f>
        <v>0.1047</v>
      </c>
      <c r="J736" s="4" t="str">
        <f>HYPERLINK("http://141.218.60.56/~jnz1568/getInfo.php?workbook=10_02.xlsx&amp;sheet=A0&amp;row=736&amp;col=10&amp;number=&amp;sourceID=32","")</f>
        <v/>
      </c>
      <c r="K736" s="4" t="str">
        <f>HYPERLINK("http://141.218.60.56/~jnz1568/getInfo.php?workbook=10_02.xlsx&amp;sheet=A0&amp;row=736&amp;col=11&amp;number=1802.5&amp;sourceID=46","1802.5")</f>
        <v>1802.5</v>
      </c>
      <c r="L736" s="4" t="str">
        <f>HYPERLINK("http://141.218.60.56/~jnz1568/getInfo.php?workbook=10_02.xlsx&amp;sheet=A0&amp;row=736&amp;col=12&amp;number=&amp;sourceID=47","")</f>
        <v/>
      </c>
    </row>
    <row r="737" spans="1:12">
      <c r="A737" s="3">
        <v>10</v>
      </c>
      <c r="B737" s="3">
        <v>2</v>
      </c>
      <c r="C737" s="3">
        <v>43</v>
      </c>
      <c r="D737" s="3">
        <v>16</v>
      </c>
      <c r="E737" s="3"/>
      <c r="F737" s="4" t="str">
        <f>HYPERLINK("http://141.218.60.56/~jnz1568/getInfo.php?workbook=10_02.xlsx&amp;sheet=A0&amp;row=737&amp;col=6&amp;number=&amp;sourceID=27","")</f>
        <v/>
      </c>
      <c r="G737" s="4" t="str">
        <f>HYPERLINK("http://141.218.60.56/~jnz1568/getInfo.php?workbook=10_02.xlsx&amp;sheet=A0&amp;row=737&amp;col=7&amp;number=&amp;sourceID=32","")</f>
        <v/>
      </c>
      <c r="H737" s="4" t="str">
        <f>HYPERLINK("http://141.218.60.56/~jnz1568/getInfo.php?workbook=10_02.xlsx&amp;sheet=A0&amp;row=737&amp;col=8&amp;number=294300&amp;sourceID=32","294300")</f>
        <v>294300</v>
      </c>
      <c r="I737" s="4" t="str">
        <f>HYPERLINK("http://141.218.60.56/~jnz1568/getInfo.php?workbook=10_02.xlsx&amp;sheet=A0&amp;row=737&amp;col=9&amp;number=0.1412&amp;sourceID=32","0.1412")</f>
        <v>0.1412</v>
      </c>
      <c r="J737" s="4" t="str">
        <f>HYPERLINK("http://141.218.60.56/~jnz1568/getInfo.php?workbook=10_02.xlsx&amp;sheet=A0&amp;row=737&amp;col=10&amp;number=&amp;sourceID=32","")</f>
        <v/>
      </c>
      <c r="K737" s="4" t="str">
        <f>HYPERLINK("http://141.218.60.56/~jnz1568/getInfo.php?workbook=10_02.xlsx&amp;sheet=A0&amp;row=737&amp;col=11&amp;number=299120&amp;sourceID=46","299120")</f>
        <v>299120</v>
      </c>
      <c r="L737" s="4" t="str">
        <f>HYPERLINK("http://141.218.60.56/~jnz1568/getInfo.php?workbook=10_02.xlsx&amp;sheet=A0&amp;row=737&amp;col=12&amp;number=&amp;sourceID=47","")</f>
        <v/>
      </c>
    </row>
    <row r="738" spans="1:12">
      <c r="A738" s="3">
        <v>10</v>
      </c>
      <c r="B738" s="3">
        <v>2</v>
      </c>
      <c r="C738" s="3">
        <v>43</v>
      </c>
      <c r="D738" s="3">
        <v>17</v>
      </c>
      <c r="E738" s="3"/>
      <c r="F738" s="4" t="str">
        <f>HYPERLINK("http://141.218.60.56/~jnz1568/getInfo.php?workbook=10_02.xlsx&amp;sheet=A0&amp;row=738&amp;col=6&amp;number=&amp;sourceID=27","")</f>
        <v/>
      </c>
      <c r="G738" s="4" t="str">
        <f>HYPERLINK("http://141.218.60.56/~jnz1568/getInfo.php?workbook=10_02.xlsx&amp;sheet=A0&amp;row=738&amp;col=7&amp;number=21750000000&amp;sourceID=32","21750000000")</f>
        <v>21750000000</v>
      </c>
      <c r="H738" s="4" t="str">
        <f>HYPERLINK("http://141.218.60.56/~jnz1568/getInfo.php?workbook=10_02.xlsx&amp;sheet=A0&amp;row=738&amp;col=8&amp;number=&amp;sourceID=32","")</f>
        <v/>
      </c>
      <c r="I738" s="4" t="str">
        <f>HYPERLINK("http://141.218.60.56/~jnz1568/getInfo.php?workbook=10_02.xlsx&amp;sheet=A0&amp;row=738&amp;col=9&amp;number=&amp;sourceID=32","")</f>
        <v/>
      </c>
      <c r="J738" s="4" t="str">
        <f>HYPERLINK("http://141.218.60.56/~jnz1568/getInfo.php?workbook=10_02.xlsx&amp;sheet=A0&amp;row=738&amp;col=10&amp;number=31.96&amp;sourceID=32","31.96")</f>
        <v>31.96</v>
      </c>
      <c r="K738" s="4" t="str">
        <f>HYPERLINK("http://141.218.60.56/~jnz1568/getInfo.php?workbook=10_02.xlsx&amp;sheet=A0&amp;row=738&amp;col=11&amp;number=22114000000&amp;sourceID=46","22114000000")</f>
        <v>22114000000</v>
      </c>
      <c r="L738" s="4" t="str">
        <f>HYPERLINK("http://141.218.60.56/~jnz1568/getInfo.php?workbook=10_02.xlsx&amp;sheet=A0&amp;row=738&amp;col=12&amp;number=&amp;sourceID=47","")</f>
        <v/>
      </c>
    </row>
    <row r="739" spans="1:12">
      <c r="A739" s="3">
        <v>10</v>
      </c>
      <c r="B739" s="3">
        <v>2</v>
      </c>
      <c r="C739" s="3">
        <v>43</v>
      </c>
      <c r="D739" s="3">
        <v>18</v>
      </c>
      <c r="E739" s="3"/>
      <c r="F739" s="4" t="str">
        <f>HYPERLINK("http://141.218.60.56/~jnz1568/getInfo.php?workbook=10_02.xlsx&amp;sheet=A0&amp;row=739&amp;col=6&amp;number=&amp;sourceID=27","")</f>
        <v/>
      </c>
      <c r="G739" s="4" t="str">
        <f>HYPERLINK("http://141.218.60.56/~jnz1568/getInfo.php?workbook=10_02.xlsx&amp;sheet=A0&amp;row=739&amp;col=7&amp;number=&amp;sourceID=32","")</f>
        <v/>
      </c>
      <c r="H739" s="4" t="str">
        <f>HYPERLINK("http://141.218.60.56/~jnz1568/getInfo.php?workbook=10_02.xlsx&amp;sheet=A0&amp;row=739&amp;col=8&amp;number=7629&amp;sourceID=32","7629")</f>
        <v>7629</v>
      </c>
      <c r="I739" s="4" t="str">
        <f>HYPERLINK("http://141.218.60.56/~jnz1568/getInfo.php?workbook=10_02.xlsx&amp;sheet=A0&amp;row=739&amp;col=9&amp;number=1.835e-05&amp;sourceID=32","1.835e-05")</f>
        <v>1.835e-05</v>
      </c>
      <c r="J739" s="4" t="str">
        <f>HYPERLINK("http://141.218.60.56/~jnz1568/getInfo.php?workbook=10_02.xlsx&amp;sheet=A0&amp;row=739&amp;col=10&amp;number=&amp;sourceID=32","")</f>
        <v/>
      </c>
      <c r="K739" s="4" t="str">
        <f>HYPERLINK("http://141.218.60.56/~jnz1568/getInfo.php?workbook=10_02.xlsx&amp;sheet=A0&amp;row=739&amp;col=11&amp;number=4757.3&amp;sourceID=46","4757.3")</f>
        <v>4757.3</v>
      </c>
      <c r="L739" s="4" t="str">
        <f>HYPERLINK("http://141.218.60.56/~jnz1568/getInfo.php?workbook=10_02.xlsx&amp;sheet=A0&amp;row=739&amp;col=12&amp;number=&amp;sourceID=47","")</f>
        <v/>
      </c>
    </row>
    <row r="740" spans="1:12">
      <c r="A740" s="3">
        <v>10</v>
      </c>
      <c r="B740" s="3">
        <v>2</v>
      </c>
      <c r="C740" s="3">
        <v>43</v>
      </c>
      <c r="D740" s="3">
        <v>19</v>
      </c>
      <c r="E740" s="3"/>
      <c r="F740" s="4" t="str">
        <f>HYPERLINK("http://141.218.60.56/~jnz1568/getInfo.php?workbook=10_02.xlsx&amp;sheet=A0&amp;row=740&amp;col=6&amp;number=&amp;sourceID=27","")</f>
        <v/>
      </c>
      <c r="G740" s="4" t="str">
        <f>HYPERLINK("http://141.218.60.56/~jnz1568/getInfo.php?workbook=10_02.xlsx&amp;sheet=A0&amp;row=740&amp;col=7&amp;number=&amp;sourceID=32","")</f>
        <v/>
      </c>
      <c r="H740" s="4" t="str">
        <f>HYPERLINK("http://141.218.60.56/~jnz1568/getInfo.php?workbook=10_02.xlsx&amp;sheet=A0&amp;row=740&amp;col=8&amp;number=&amp;sourceID=32","")</f>
        <v/>
      </c>
      <c r="I740" s="4" t="str">
        <f>HYPERLINK("http://141.218.60.56/~jnz1568/getInfo.php?workbook=10_02.xlsx&amp;sheet=A0&amp;row=740&amp;col=9&amp;number=&amp;sourceID=32","")</f>
        <v/>
      </c>
      <c r="J740" s="4" t="str">
        <f>HYPERLINK("http://141.218.60.56/~jnz1568/getInfo.php?workbook=10_02.xlsx&amp;sheet=A0&amp;row=740&amp;col=10&amp;number=0.6443&amp;sourceID=32","0.6443")</f>
        <v>0.6443</v>
      </c>
      <c r="K740" s="4" t="str">
        <f>HYPERLINK("http://141.218.60.56/~jnz1568/getInfo.php?workbook=10_02.xlsx&amp;sheet=A0&amp;row=740&amp;col=11&amp;number=&amp;sourceID=46","")</f>
        <v/>
      </c>
      <c r="L740" s="4" t="str">
        <f>HYPERLINK("http://141.218.60.56/~jnz1568/getInfo.php?workbook=10_02.xlsx&amp;sheet=A0&amp;row=740&amp;col=12&amp;number=&amp;sourceID=47","")</f>
        <v/>
      </c>
    </row>
    <row r="741" spans="1:12">
      <c r="A741" s="3">
        <v>10</v>
      </c>
      <c r="B741" s="3">
        <v>2</v>
      </c>
      <c r="C741" s="3">
        <v>43</v>
      </c>
      <c r="D741" s="3">
        <v>20</v>
      </c>
      <c r="E741" s="3"/>
      <c r="F741" s="4" t="str">
        <f>HYPERLINK("http://141.218.60.56/~jnz1568/getInfo.php?workbook=10_02.xlsx&amp;sheet=A0&amp;row=741&amp;col=6&amp;number=&amp;sourceID=27","")</f>
        <v/>
      </c>
      <c r="G741" s="4" t="str">
        <f>HYPERLINK("http://141.218.60.56/~jnz1568/getInfo.php?workbook=10_02.xlsx&amp;sheet=A0&amp;row=741&amp;col=7&amp;number=108600000&amp;sourceID=32","108600000")</f>
        <v>108600000</v>
      </c>
      <c r="H741" s="4" t="str">
        <f>HYPERLINK("http://141.218.60.56/~jnz1568/getInfo.php?workbook=10_02.xlsx&amp;sheet=A0&amp;row=741&amp;col=8&amp;number=&amp;sourceID=32","")</f>
        <v/>
      </c>
      <c r="I741" s="4" t="str">
        <f>HYPERLINK("http://141.218.60.56/~jnz1568/getInfo.php?workbook=10_02.xlsx&amp;sheet=A0&amp;row=741&amp;col=9&amp;number=&amp;sourceID=32","")</f>
        <v/>
      </c>
      <c r="J741" s="4" t="str">
        <f>HYPERLINK("http://141.218.60.56/~jnz1568/getInfo.php?workbook=10_02.xlsx&amp;sheet=A0&amp;row=741&amp;col=10&amp;number=1.672&amp;sourceID=32","1.672")</f>
        <v>1.672</v>
      </c>
      <c r="K741" s="4" t="str">
        <f>HYPERLINK("http://141.218.60.56/~jnz1568/getInfo.php?workbook=10_02.xlsx&amp;sheet=A0&amp;row=741&amp;col=11&amp;number=65797000&amp;sourceID=46","65797000")</f>
        <v>65797000</v>
      </c>
      <c r="L741" s="4" t="str">
        <f>HYPERLINK("http://141.218.60.56/~jnz1568/getInfo.php?workbook=10_02.xlsx&amp;sheet=A0&amp;row=741&amp;col=12&amp;number=&amp;sourceID=47","")</f>
        <v/>
      </c>
    </row>
    <row r="742" spans="1:12">
      <c r="A742" s="3">
        <v>10</v>
      </c>
      <c r="B742" s="3">
        <v>2</v>
      </c>
      <c r="C742" s="3">
        <v>43</v>
      </c>
      <c r="D742" s="3">
        <v>21</v>
      </c>
      <c r="E742" s="3"/>
      <c r="F742" s="4" t="str">
        <f>HYPERLINK("http://141.218.60.56/~jnz1568/getInfo.php?workbook=10_02.xlsx&amp;sheet=A0&amp;row=742&amp;col=6&amp;number=&amp;sourceID=27","")</f>
        <v/>
      </c>
      <c r="G742" s="4" t="str">
        <f>HYPERLINK("http://141.218.60.56/~jnz1568/getInfo.php?workbook=10_02.xlsx&amp;sheet=A0&amp;row=742&amp;col=7&amp;number=&amp;sourceID=32","")</f>
        <v/>
      </c>
      <c r="H742" s="4" t="str">
        <f>HYPERLINK("http://141.218.60.56/~jnz1568/getInfo.php?workbook=10_02.xlsx&amp;sheet=A0&amp;row=742&amp;col=8&amp;number=293700&amp;sourceID=32","293700")</f>
        <v>293700</v>
      </c>
      <c r="I742" s="4" t="str">
        <f>HYPERLINK("http://141.218.60.56/~jnz1568/getInfo.php?workbook=10_02.xlsx&amp;sheet=A0&amp;row=742&amp;col=9&amp;number=&amp;sourceID=32","")</f>
        <v/>
      </c>
      <c r="J742" s="4" t="str">
        <f>HYPERLINK("http://141.218.60.56/~jnz1568/getInfo.php?workbook=10_02.xlsx&amp;sheet=A0&amp;row=742&amp;col=10&amp;number=&amp;sourceID=32","")</f>
        <v/>
      </c>
      <c r="K742" s="4" t="str">
        <f>HYPERLINK("http://141.218.60.56/~jnz1568/getInfo.php?workbook=10_02.xlsx&amp;sheet=A0&amp;row=742&amp;col=11&amp;number=295890&amp;sourceID=46","295890")</f>
        <v>295890</v>
      </c>
      <c r="L742" s="4" t="str">
        <f>HYPERLINK("http://141.218.60.56/~jnz1568/getInfo.php?workbook=10_02.xlsx&amp;sheet=A0&amp;row=742&amp;col=12&amp;number=&amp;sourceID=47","")</f>
        <v/>
      </c>
    </row>
    <row r="743" spans="1:12">
      <c r="A743" s="3">
        <v>10</v>
      </c>
      <c r="B743" s="3">
        <v>2</v>
      </c>
      <c r="C743" s="3">
        <v>43</v>
      </c>
      <c r="D743" s="3">
        <v>22</v>
      </c>
      <c r="E743" s="3"/>
      <c r="F743" s="4" t="str">
        <f>HYPERLINK("http://141.218.60.56/~jnz1568/getInfo.php?workbook=10_02.xlsx&amp;sheet=A0&amp;row=743&amp;col=6&amp;number=&amp;sourceID=27","")</f>
        <v/>
      </c>
      <c r="G743" s="4" t="str">
        <f>HYPERLINK("http://141.218.60.56/~jnz1568/getInfo.php?workbook=10_02.xlsx&amp;sheet=A0&amp;row=743&amp;col=7&amp;number=55680000&amp;sourceID=32","55680000")</f>
        <v>55680000</v>
      </c>
      <c r="H743" s="4" t="str">
        <f>HYPERLINK("http://141.218.60.56/~jnz1568/getInfo.php?workbook=10_02.xlsx&amp;sheet=A0&amp;row=743&amp;col=8&amp;number=&amp;sourceID=32","")</f>
        <v/>
      </c>
      <c r="I743" s="4" t="str">
        <f>HYPERLINK("http://141.218.60.56/~jnz1568/getInfo.php?workbook=10_02.xlsx&amp;sheet=A0&amp;row=743&amp;col=9&amp;number=&amp;sourceID=32","")</f>
        <v/>
      </c>
      <c r="J743" s="4" t="str">
        <f>HYPERLINK("http://141.218.60.56/~jnz1568/getInfo.php?workbook=10_02.xlsx&amp;sheet=A0&amp;row=743&amp;col=10&amp;number=1.266&amp;sourceID=32","1.266")</f>
        <v>1.266</v>
      </c>
      <c r="K743" s="4" t="str">
        <f>HYPERLINK("http://141.218.60.56/~jnz1568/getInfo.php?workbook=10_02.xlsx&amp;sheet=A0&amp;row=743&amp;col=11&amp;number=34638000&amp;sourceID=46","34638000")</f>
        <v>34638000</v>
      </c>
      <c r="L743" s="4" t="str">
        <f>HYPERLINK("http://141.218.60.56/~jnz1568/getInfo.php?workbook=10_02.xlsx&amp;sheet=A0&amp;row=743&amp;col=12&amp;number=&amp;sourceID=47","")</f>
        <v/>
      </c>
    </row>
    <row r="744" spans="1:12">
      <c r="A744" s="3">
        <v>10</v>
      </c>
      <c r="B744" s="3">
        <v>2</v>
      </c>
      <c r="C744" s="3">
        <v>43</v>
      </c>
      <c r="D744" s="3">
        <v>23</v>
      </c>
      <c r="E744" s="3"/>
      <c r="F744" s="4" t="str">
        <f>HYPERLINK("http://141.218.60.56/~jnz1568/getInfo.php?workbook=10_02.xlsx&amp;sheet=A0&amp;row=744&amp;col=6&amp;number=&amp;sourceID=27","")</f>
        <v/>
      </c>
      <c r="G744" s="4" t="str">
        <f>HYPERLINK("http://141.218.60.56/~jnz1568/getInfo.php?workbook=10_02.xlsx&amp;sheet=A0&amp;row=744&amp;col=7&amp;number=&amp;sourceID=32","")</f>
        <v/>
      </c>
      <c r="H744" s="4" t="str">
        <f>HYPERLINK("http://141.218.60.56/~jnz1568/getInfo.php?workbook=10_02.xlsx&amp;sheet=A0&amp;row=744&amp;col=8&amp;number=1173&amp;sourceID=32","1173")</f>
        <v>1173</v>
      </c>
      <c r="I744" s="4" t="str">
        <f>HYPERLINK("http://141.218.60.56/~jnz1568/getInfo.php?workbook=10_02.xlsx&amp;sheet=A0&amp;row=744&amp;col=9&amp;number=0.005485&amp;sourceID=32","0.005485")</f>
        <v>0.005485</v>
      </c>
      <c r="J744" s="4" t="str">
        <f>HYPERLINK("http://141.218.60.56/~jnz1568/getInfo.php?workbook=10_02.xlsx&amp;sheet=A0&amp;row=744&amp;col=10&amp;number=&amp;sourceID=32","")</f>
        <v/>
      </c>
      <c r="K744" s="4" t="str">
        <f>HYPERLINK("http://141.218.60.56/~jnz1568/getInfo.php?workbook=10_02.xlsx&amp;sheet=A0&amp;row=744&amp;col=11&amp;number=732.06&amp;sourceID=46","732.06")</f>
        <v>732.06</v>
      </c>
      <c r="L744" s="4" t="str">
        <f>HYPERLINK("http://141.218.60.56/~jnz1568/getInfo.php?workbook=10_02.xlsx&amp;sheet=A0&amp;row=744&amp;col=12&amp;number=&amp;sourceID=47","")</f>
        <v/>
      </c>
    </row>
    <row r="745" spans="1:12">
      <c r="A745" s="3">
        <v>10</v>
      </c>
      <c r="B745" s="3">
        <v>2</v>
      </c>
      <c r="C745" s="3">
        <v>43</v>
      </c>
      <c r="D745" s="3">
        <v>24</v>
      </c>
      <c r="E745" s="3"/>
      <c r="F745" s="4" t="str">
        <f>HYPERLINK("http://141.218.60.56/~jnz1568/getInfo.php?workbook=10_02.xlsx&amp;sheet=A0&amp;row=745&amp;col=6&amp;number=&amp;sourceID=27","")</f>
        <v/>
      </c>
      <c r="G745" s="4" t="str">
        <f>HYPERLINK("http://141.218.60.56/~jnz1568/getInfo.php?workbook=10_02.xlsx&amp;sheet=A0&amp;row=745&amp;col=7&amp;number=&amp;sourceID=32","")</f>
        <v/>
      </c>
      <c r="H745" s="4" t="str">
        <f>HYPERLINK("http://141.218.60.56/~jnz1568/getInfo.php?workbook=10_02.xlsx&amp;sheet=A0&amp;row=745&amp;col=8&amp;number=1120&amp;sourceID=32","1120")</f>
        <v>1120</v>
      </c>
      <c r="I745" s="4" t="str">
        <f>HYPERLINK("http://141.218.60.56/~jnz1568/getInfo.php?workbook=10_02.xlsx&amp;sheet=A0&amp;row=745&amp;col=9&amp;number=0.0004228&amp;sourceID=32","0.0004228")</f>
        <v>0.0004228</v>
      </c>
      <c r="J745" s="4" t="str">
        <f>HYPERLINK("http://141.218.60.56/~jnz1568/getInfo.php?workbook=10_02.xlsx&amp;sheet=A0&amp;row=745&amp;col=10&amp;number=&amp;sourceID=32","")</f>
        <v/>
      </c>
      <c r="K745" s="4" t="str">
        <f>HYPERLINK("http://141.218.60.56/~jnz1568/getInfo.php?workbook=10_02.xlsx&amp;sheet=A0&amp;row=745&amp;col=11&amp;number=718.11&amp;sourceID=46","718.11")</f>
        <v>718.11</v>
      </c>
      <c r="L745" s="4" t="str">
        <f>HYPERLINK("http://141.218.60.56/~jnz1568/getInfo.php?workbook=10_02.xlsx&amp;sheet=A0&amp;row=745&amp;col=12&amp;number=&amp;sourceID=47","")</f>
        <v/>
      </c>
    </row>
    <row r="746" spans="1:12">
      <c r="A746" s="3">
        <v>10</v>
      </c>
      <c r="B746" s="3">
        <v>2</v>
      </c>
      <c r="C746" s="3">
        <v>43</v>
      </c>
      <c r="D746" s="3">
        <v>25</v>
      </c>
      <c r="E746" s="3"/>
      <c r="F746" s="4" t="str">
        <f>HYPERLINK("http://141.218.60.56/~jnz1568/getInfo.php?workbook=10_02.xlsx&amp;sheet=A0&amp;row=746&amp;col=6&amp;number=&amp;sourceID=27","")</f>
        <v/>
      </c>
      <c r="G746" s="4" t="str">
        <f>HYPERLINK("http://141.218.60.56/~jnz1568/getInfo.php?workbook=10_02.xlsx&amp;sheet=A0&amp;row=746&amp;col=7&amp;number=&amp;sourceID=32","")</f>
        <v/>
      </c>
      <c r="H746" s="4" t="str">
        <f>HYPERLINK("http://141.218.60.56/~jnz1568/getInfo.php?workbook=10_02.xlsx&amp;sheet=A0&amp;row=746&amp;col=8&amp;number=1338&amp;sourceID=32","1338")</f>
        <v>1338</v>
      </c>
      <c r="I746" s="4" t="str">
        <f>HYPERLINK("http://141.218.60.56/~jnz1568/getInfo.php?workbook=10_02.xlsx&amp;sheet=A0&amp;row=746&amp;col=9&amp;number=0.01136&amp;sourceID=32","0.01136")</f>
        <v>0.01136</v>
      </c>
      <c r="J746" s="4" t="str">
        <f>HYPERLINK("http://141.218.60.56/~jnz1568/getInfo.php?workbook=10_02.xlsx&amp;sheet=A0&amp;row=746&amp;col=10&amp;number=&amp;sourceID=32","")</f>
        <v/>
      </c>
      <c r="K746" s="4" t="str">
        <f>HYPERLINK("http://141.218.60.56/~jnz1568/getInfo.php?workbook=10_02.xlsx&amp;sheet=A0&amp;row=746&amp;col=11&amp;number=835.27&amp;sourceID=46","835.27")</f>
        <v>835.27</v>
      </c>
      <c r="L746" s="4" t="str">
        <f>HYPERLINK("http://141.218.60.56/~jnz1568/getInfo.php?workbook=10_02.xlsx&amp;sheet=A0&amp;row=746&amp;col=12&amp;number=&amp;sourceID=47","")</f>
        <v/>
      </c>
    </row>
    <row r="747" spans="1:12">
      <c r="A747" s="3">
        <v>10</v>
      </c>
      <c r="B747" s="3">
        <v>2</v>
      </c>
      <c r="C747" s="3">
        <v>43</v>
      </c>
      <c r="D747" s="3">
        <v>26</v>
      </c>
      <c r="E747" s="3"/>
      <c r="F747" s="4" t="str">
        <f>HYPERLINK("http://141.218.60.56/~jnz1568/getInfo.php?workbook=10_02.xlsx&amp;sheet=A0&amp;row=747&amp;col=6&amp;number=&amp;sourceID=27","")</f>
        <v/>
      </c>
      <c r="G747" s="4" t="str">
        <f>HYPERLINK("http://141.218.60.56/~jnz1568/getInfo.php?workbook=10_02.xlsx&amp;sheet=A0&amp;row=747&amp;col=7&amp;number=90150000&amp;sourceID=32","90150000")</f>
        <v>90150000</v>
      </c>
      <c r="H747" s="4" t="str">
        <f>HYPERLINK("http://141.218.60.56/~jnz1568/getInfo.php?workbook=10_02.xlsx&amp;sheet=A0&amp;row=747&amp;col=8&amp;number=&amp;sourceID=32","")</f>
        <v/>
      </c>
      <c r="I747" s="4" t="str">
        <f>HYPERLINK("http://141.218.60.56/~jnz1568/getInfo.php?workbook=10_02.xlsx&amp;sheet=A0&amp;row=747&amp;col=9&amp;number=&amp;sourceID=32","")</f>
        <v/>
      </c>
      <c r="J747" s="4" t="str">
        <f>HYPERLINK("http://141.218.60.56/~jnz1568/getInfo.php?workbook=10_02.xlsx&amp;sheet=A0&amp;row=747&amp;col=10&amp;number=0.005985&amp;sourceID=32","0.005985")</f>
        <v>0.005985</v>
      </c>
      <c r="K747" s="4" t="str">
        <f>HYPERLINK("http://141.218.60.56/~jnz1568/getInfo.php?workbook=10_02.xlsx&amp;sheet=A0&amp;row=747&amp;col=11&amp;number=94881000&amp;sourceID=46","94881000")</f>
        <v>94881000</v>
      </c>
      <c r="L747" s="4" t="str">
        <f>HYPERLINK("http://141.218.60.56/~jnz1568/getInfo.php?workbook=10_02.xlsx&amp;sheet=A0&amp;row=747&amp;col=12&amp;number=&amp;sourceID=47","")</f>
        <v/>
      </c>
    </row>
    <row r="748" spans="1:12">
      <c r="A748" s="3">
        <v>10</v>
      </c>
      <c r="B748" s="3">
        <v>2</v>
      </c>
      <c r="C748" s="3">
        <v>43</v>
      </c>
      <c r="D748" s="3">
        <v>27</v>
      </c>
      <c r="E748" s="3"/>
      <c r="F748" s="4" t="str">
        <f>HYPERLINK("http://141.218.60.56/~jnz1568/getInfo.php?workbook=10_02.xlsx&amp;sheet=A0&amp;row=748&amp;col=6&amp;number=&amp;sourceID=27","")</f>
        <v/>
      </c>
      <c r="G748" s="4" t="str">
        <f>HYPERLINK("http://141.218.60.56/~jnz1568/getInfo.php?workbook=10_02.xlsx&amp;sheet=A0&amp;row=748&amp;col=7&amp;number=871200&amp;sourceID=32","871200")</f>
        <v>871200</v>
      </c>
      <c r="H748" s="4" t="str">
        <f>HYPERLINK("http://141.218.60.56/~jnz1568/getInfo.php?workbook=10_02.xlsx&amp;sheet=A0&amp;row=748&amp;col=8&amp;number=&amp;sourceID=32","")</f>
        <v/>
      </c>
      <c r="I748" s="4" t="str">
        <f>HYPERLINK("http://141.218.60.56/~jnz1568/getInfo.php?workbook=10_02.xlsx&amp;sheet=A0&amp;row=748&amp;col=9&amp;number=&amp;sourceID=32","")</f>
        <v/>
      </c>
      <c r="J748" s="4" t="str">
        <f>HYPERLINK("http://141.218.60.56/~jnz1568/getInfo.php?workbook=10_02.xlsx&amp;sheet=A0&amp;row=748&amp;col=10&amp;number=0.001778&amp;sourceID=32","0.001778")</f>
        <v>0.001778</v>
      </c>
      <c r="K748" s="4" t="str">
        <f>HYPERLINK("http://141.218.60.56/~jnz1568/getInfo.php?workbook=10_02.xlsx&amp;sheet=A0&amp;row=748&amp;col=11&amp;number=541830&amp;sourceID=46","541830")</f>
        <v>541830</v>
      </c>
      <c r="L748" s="4" t="str">
        <f>HYPERLINK("http://141.218.60.56/~jnz1568/getInfo.php?workbook=10_02.xlsx&amp;sheet=A0&amp;row=748&amp;col=12&amp;number=&amp;sourceID=47","")</f>
        <v/>
      </c>
    </row>
    <row r="749" spans="1:12">
      <c r="A749" s="3">
        <v>10</v>
      </c>
      <c r="B749" s="3">
        <v>2</v>
      </c>
      <c r="C749" s="3">
        <v>43</v>
      </c>
      <c r="D749" s="3">
        <v>29</v>
      </c>
      <c r="E749" s="3"/>
      <c r="F749" s="4" t="str">
        <f>HYPERLINK("http://141.218.60.56/~jnz1568/getInfo.php?workbook=10_02.xlsx&amp;sheet=A0&amp;row=749&amp;col=6&amp;number=&amp;sourceID=27","")</f>
        <v/>
      </c>
      <c r="G749" s="4" t="str">
        <f>HYPERLINK("http://141.218.60.56/~jnz1568/getInfo.php?workbook=10_02.xlsx&amp;sheet=A0&amp;row=749&amp;col=7&amp;number=&amp;sourceID=32","")</f>
        <v/>
      </c>
      <c r="H749" s="4" t="str">
        <f>HYPERLINK("http://141.218.60.56/~jnz1568/getInfo.php?workbook=10_02.xlsx&amp;sheet=A0&amp;row=749&amp;col=8&amp;number=137600&amp;sourceID=32","137600")</f>
        <v>137600</v>
      </c>
      <c r="I749" s="4" t="str">
        <f>HYPERLINK("http://141.218.60.56/~jnz1568/getInfo.php?workbook=10_02.xlsx&amp;sheet=A0&amp;row=749&amp;col=9&amp;number=0.006531&amp;sourceID=32","0.006531")</f>
        <v>0.006531</v>
      </c>
      <c r="J749" s="4" t="str">
        <f>HYPERLINK("http://141.218.60.56/~jnz1568/getInfo.php?workbook=10_02.xlsx&amp;sheet=A0&amp;row=749&amp;col=10&amp;number=&amp;sourceID=32","")</f>
        <v/>
      </c>
      <c r="K749" s="4" t="str">
        <f>HYPERLINK("http://141.218.60.56/~jnz1568/getInfo.php?workbook=10_02.xlsx&amp;sheet=A0&amp;row=749&amp;col=11&amp;number=138980&amp;sourceID=46","138980")</f>
        <v>138980</v>
      </c>
      <c r="L749" s="4" t="str">
        <f>HYPERLINK("http://141.218.60.56/~jnz1568/getInfo.php?workbook=10_02.xlsx&amp;sheet=A0&amp;row=749&amp;col=12&amp;number=&amp;sourceID=47","")</f>
        <v/>
      </c>
    </row>
    <row r="750" spans="1:12">
      <c r="A750" s="3">
        <v>10</v>
      </c>
      <c r="B750" s="3">
        <v>2</v>
      </c>
      <c r="C750" s="3">
        <v>43</v>
      </c>
      <c r="D750" s="3">
        <v>30</v>
      </c>
      <c r="E750" s="3"/>
      <c r="F750" s="4" t="str">
        <f>HYPERLINK("http://141.218.60.56/~jnz1568/getInfo.php?workbook=10_02.xlsx&amp;sheet=A0&amp;row=750&amp;col=6&amp;number=&amp;sourceID=27","")</f>
        <v/>
      </c>
      <c r="G750" s="4" t="str">
        <f>HYPERLINK("http://141.218.60.56/~jnz1568/getInfo.php?workbook=10_02.xlsx&amp;sheet=A0&amp;row=750&amp;col=7&amp;number=240600000&amp;sourceID=32","240600000")</f>
        <v>240600000</v>
      </c>
      <c r="H750" s="4" t="str">
        <f>HYPERLINK("http://141.218.60.56/~jnz1568/getInfo.php?workbook=10_02.xlsx&amp;sheet=A0&amp;row=750&amp;col=8&amp;number=&amp;sourceID=32","")</f>
        <v/>
      </c>
      <c r="I750" s="4" t="str">
        <f>HYPERLINK("http://141.218.60.56/~jnz1568/getInfo.php?workbook=10_02.xlsx&amp;sheet=A0&amp;row=750&amp;col=9&amp;number=&amp;sourceID=32","")</f>
        <v/>
      </c>
      <c r="J750" s="4" t="str">
        <f>HYPERLINK("http://141.218.60.56/~jnz1568/getInfo.php?workbook=10_02.xlsx&amp;sheet=A0&amp;row=750&amp;col=10&amp;number=0.1525&amp;sourceID=32","0.1525")</f>
        <v>0.1525</v>
      </c>
      <c r="K750" s="4" t="str">
        <f>HYPERLINK("http://141.218.60.56/~jnz1568/getInfo.php?workbook=10_02.xlsx&amp;sheet=A0&amp;row=750&amp;col=11&amp;number=235080000&amp;sourceID=46","235080000")</f>
        <v>235080000</v>
      </c>
      <c r="L750" s="4" t="str">
        <f>HYPERLINK("http://141.218.60.56/~jnz1568/getInfo.php?workbook=10_02.xlsx&amp;sheet=A0&amp;row=750&amp;col=12&amp;number=&amp;sourceID=47","")</f>
        <v/>
      </c>
    </row>
    <row r="751" spans="1:12">
      <c r="A751" s="3">
        <v>10</v>
      </c>
      <c r="B751" s="3">
        <v>2</v>
      </c>
      <c r="C751" s="3">
        <v>43</v>
      </c>
      <c r="D751" s="3">
        <v>31</v>
      </c>
      <c r="E751" s="3"/>
      <c r="F751" s="4" t="str">
        <f>HYPERLINK("http://141.218.60.56/~jnz1568/getInfo.php?workbook=10_02.xlsx&amp;sheet=A0&amp;row=751&amp;col=6&amp;number=&amp;sourceID=27","")</f>
        <v/>
      </c>
      <c r="G751" s="4" t="str">
        <f>HYPERLINK("http://141.218.60.56/~jnz1568/getInfo.php?workbook=10_02.xlsx&amp;sheet=A0&amp;row=751&amp;col=7&amp;number=9672000000&amp;sourceID=32","9672000000")</f>
        <v>9672000000</v>
      </c>
      <c r="H751" s="4" t="str">
        <f>HYPERLINK("http://141.218.60.56/~jnz1568/getInfo.php?workbook=10_02.xlsx&amp;sheet=A0&amp;row=751&amp;col=8&amp;number=&amp;sourceID=32","")</f>
        <v/>
      </c>
      <c r="I751" s="4" t="str">
        <f>HYPERLINK("http://141.218.60.56/~jnz1568/getInfo.php?workbook=10_02.xlsx&amp;sheet=A0&amp;row=751&amp;col=9&amp;number=&amp;sourceID=32","")</f>
        <v/>
      </c>
      <c r="J751" s="4" t="str">
        <f>HYPERLINK("http://141.218.60.56/~jnz1568/getInfo.php?workbook=10_02.xlsx&amp;sheet=A0&amp;row=751&amp;col=10&amp;number=1.42&amp;sourceID=32","1.42")</f>
        <v>1.42</v>
      </c>
      <c r="K751" s="4" t="str">
        <f>HYPERLINK("http://141.218.60.56/~jnz1568/getInfo.php?workbook=10_02.xlsx&amp;sheet=A0&amp;row=751&amp;col=11&amp;number=9776500000&amp;sourceID=46","9776500000")</f>
        <v>9776500000</v>
      </c>
      <c r="L751" s="4" t="str">
        <f>HYPERLINK("http://141.218.60.56/~jnz1568/getInfo.php?workbook=10_02.xlsx&amp;sheet=A0&amp;row=751&amp;col=12&amp;number=&amp;sourceID=47","")</f>
        <v/>
      </c>
    </row>
    <row r="752" spans="1:12">
      <c r="A752" s="3">
        <v>10</v>
      </c>
      <c r="B752" s="3">
        <v>2</v>
      </c>
      <c r="C752" s="3">
        <v>43</v>
      </c>
      <c r="D752" s="3">
        <v>32</v>
      </c>
      <c r="E752" s="3"/>
      <c r="F752" s="4" t="str">
        <f>HYPERLINK("http://141.218.60.56/~jnz1568/getInfo.php?workbook=10_02.xlsx&amp;sheet=A0&amp;row=752&amp;col=6&amp;number=&amp;sourceID=27","")</f>
        <v/>
      </c>
      <c r="G752" s="4" t="str">
        <f>HYPERLINK("http://141.218.60.56/~jnz1568/getInfo.php?workbook=10_02.xlsx&amp;sheet=A0&amp;row=752&amp;col=7&amp;number=&amp;sourceID=32","")</f>
        <v/>
      </c>
      <c r="H752" s="4" t="str">
        <f>HYPERLINK("http://141.218.60.56/~jnz1568/getInfo.php?workbook=10_02.xlsx&amp;sheet=A0&amp;row=752&amp;col=8&amp;number=0.002977&amp;sourceID=32","0.002977")</f>
        <v>0.002977</v>
      </c>
      <c r="I752" s="4" t="str">
        <f>HYPERLINK("http://141.218.60.56/~jnz1568/getInfo.php?workbook=10_02.xlsx&amp;sheet=A0&amp;row=752&amp;col=9&amp;number=1.191e-08&amp;sourceID=32","1.191e-08")</f>
        <v>1.191e-08</v>
      </c>
      <c r="J752" s="4" t="str">
        <f>HYPERLINK("http://141.218.60.56/~jnz1568/getInfo.php?workbook=10_02.xlsx&amp;sheet=A0&amp;row=752&amp;col=10&amp;number=&amp;sourceID=32","")</f>
        <v/>
      </c>
      <c r="K752" s="4" t="str">
        <f>HYPERLINK("http://141.218.60.56/~jnz1568/getInfo.php?workbook=10_02.xlsx&amp;sheet=A0&amp;row=752&amp;col=11&amp;number=&amp;sourceID=46","")</f>
        <v/>
      </c>
      <c r="L752" s="4" t="str">
        <f>HYPERLINK("http://141.218.60.56/~jnz1568/getInfo.php?workbook=10_02.xlsx&amp;sheet=A0&amp;row=752&amp;col=12&amp;number=&amp;sourceID=47","")</f>
        <v/>
      </c>
    </row>
    <row r="753" spans="1:12">
      <c r="A753" s="3">
        <v>10</v>
      </c>
      <c r="B753" s="3">
        <v>2</v>
      </c>
      <c r="C753" s="3">
        <v>43</v>
      </c>
      <c r="D753" s="3">
        <v>33</v>
      </c>
      <c r="E753" s="3"/>
      <c r="F753" s="4" t="str">
        <f>HYPERLINK("http://141.218.60.56/~jnz1568/getInfo.php?workbook=10_02.xlsx&amp;sheet=A0&amp;row=753&amp;col=6&amp;number=&amp;sourceID=27","")</f>
        <v/>
      </c>
      <c r="G753" s="4" t="str">
        <f>HYPERLINK("http://141.218.60.56/~jnz1568/getInfo.php?workbook=10_02.xlsx&amp;sheet=A0&amp;row=753&amp;col=7&amp;number=&amp;sourceID=32","")</f>
        <v/>
      </c>
      <c r="H753" s="4" t="str">
        <f>HYPERLINK("http://141.218.60.56/~jnz1568/getInfo.php?workbook=10_02.xlsx&amp;sheet=A0&amp;row=753&amp;col=8&amp;number=&amp;sourceID=32","")</f>
        <v/>
      </c>
      <c r="I753" s="4" t="str">
        <f>HYPERLINK("http://141.218.60.56/~jnz1568/getInfo.php?workbook=10_02.xlsx&amp;sheet=A0&amp;row=753&amp;col=9&amp;number=&amp;sourceID=32","")</f>
        <v/>
      </c>
      <c r="J753" s="4" t="str">
        <f>HYPERLINK("http://141.218.60.56/~jnz1568/getInfo.php?workbook=10_02.xlsx&amp;sheet=A0&amp;row=753&amp;col=10&amp;number=2.934e-09&amp;sourceID=32","2.934e-09")</f>
        <v>2.934e-09</v>
      </c>
      <c r="K753" s="4" t="str">
        <f>HYPERLINK("http://141.218.60.56/~jnz1568/getInfo.php?workbook=10_02.xlsx&amp;sheet=A0&amp;row=753&amp;col=11&amp;number=&amp;sourceID=46","")</f>
        <v/>
      </c>
      <c r="L753" s="4" t="str">
        <f>HYPERLINK("http://141.218.60.56/~jnz1568/getInfo.php?workbook=10_02.xlsx&amp;sheet=A0&amp;row=753&amp;col=12&amp;number=&amp;sourceID=47","")</f>
        <v/>
      </c>
    </row>
    <row r="754" spans="1:12">
      <c r="A754" s="3">
        <v>10</v>
      </c>
      <c r="B754" s="3">
        <v>2</v>
      </c>
      <c r="C754" s="3">
        <v>43</v>
      </c>
      <c r="D754" s="3">
        <v>34</v>
      </c>
      <c r="E754" s="3"/>
      <c r="F754" s="4" t="str">
        <f>HYPERLINK("http://141.218.60.56/~jnz1568/getInfo.php?workbook=10_02.xlsx&amp;sheet=A0&amp;row=754&amp;col=6&amp;number=&amp;sourceID=27","")</f>
        <v/>
      </c>
      <c r="G754" s="4" t="str">
        <f>HYPERLINK("http://141.218.60.56/~jnz1568/getInfo.php?workbook=10_02.xlsx&amp;sheet=A0&amp;row=754&amp;col=7&amp;number=&amp;sourceID=32","")</f>
        <v/>
      </c>
      <c r="H754" s="4" t="str">
        <f>HYPERLINK("http://141.218.60.56/~jnz1568/getInfo.php?workbook=10_02.xlsx&amp;sheet=A0&amp;row=754&amp;col=8&amp;number=0.0009607&amp;sourceID=32","0.0009607")</f>
        <v>0.0009607</v>
      </c>
      <c r="I754" s="4" t="str">
        <f>HYPERLINK("http://141.218.60.56/~jnz1568/getInfo.php?workbook=10_02.xlsx&amp;sheet=A0&amp;row=754&amp;col=9&amp;number=&amp;sourceID=32","")</f>
        <v/>
      </c>
      <c r="J754" s="4" t="str">
        <f>HYPERLINK("http://141.218.60.56/~jnz1568/getInfo.php?workbook=10_02.xlsx&amp;sheet=A0&amp;row=754&amp;col=10&amp;number=&amp;sourceID=32","")</f>
        <v/>
      </c>
      <c r="K754" s="4" t="str">
        <f>HYPERLINK("http://141.218.60.56/~jnz1568/getInfo.php?workbook=10_02.xlsx&amp;sheet=A0&amp;row=754&amp;col=11&amp;number=&amp;sourceID=46","")</f>
        <v/>
      </c>
      <c r="L754" s="4" t="str">
        <f>HYPERLINK("http://141.218.60.56/~jnz1568/getInfo.php?workbook=10_02.xlsx&amp;sheet=A0&amp;row=754&amp;col=12&amp;number=&amp;sourceID=47","")</f>
        <v/>
      </c>
    </row>
    <row r="755" spans="1:12">
      <c r="A755" s="3">
        <v>10</v>
      </c>
      <c r="B755" s="3">
        <v>2</v>
      </c>
      <c r="C755" s="3">
        <v>43</v>
      </c>
      <c r="D755" s="3">
        <v>35</v>
      </c>
      <c r="E755" s="3"/>
      <c r="F755" s="4" t="str">
        <f>HYPERLINK("http://141.218.60.56/~jnz1568/getInfo.php?workbook=10_02.xlsx&amp;sheet=A0&amp;row=755&amp;col=6&amp;number=&amp;sourceID=27","")</f>
        <v/>
      </c>
      <c r="G755" s="4" t="str">
        <f>HYPERLINK("http://141.218.60.56/~jnz1568/getInfo.php?workbook=10_02.xlsx&amp;sheet=A0&amp;row=755&amp;col=7&amp;number=2703&amp;sourceID=32","2703")</f>
        <v>2703</v>
      </c>
      <c r="H755" s="4" t="str">
        <f>HYPERLINK("http://141.218.60.56/~jnz1568/getInfo.php?workbook=10_02.xlsx&amp;sheet=A0&amp;row=755&amp;col=8&amp;number=&amp;sourceID=32","")</f>
        <v/>
      </c>
      <c r="I755" s="4" t="str">
        <f>HYPERLINK("http://141.218.60.56/~jnz1568/getInfo.php?workbook=10_02.xlsx&amp;sheet=A0&amp;row=755&amp;col=9&amp;number=&amp;sourceID=32","")</f>
        <v/>
      </c>
      <c r="J755" s="4" t="str">
        <f>HYPERLINK("http://141.218.60.56/~jnz1568/getInfo.php?workbook=10_02.xlsx&amp;sheet=A0&amp;row=755&amp;col=10&amp;number=7.259e-09&amp;sourceID=32","7.259e-09")</f>
        <v>7.259e-09</v>
      </c>
      <c r="K755" s="4" t="str">
        <f>HYPERLINK("http://141.218.60.56/~jnz1568/getInfo.php?workbook=10_02.xlsx&amp;sheet=A0&amp;row=755&amp;col=11&amp;number=1925.2&amp;sourceID=46","1925.2")</f>
        <v>1925.2</v>
      </c>
      <c r="L755" s="4" t="str">
        <f>HYPERLINK("http://141.218.60.56/~jnz1568/getInfo.php?workbook=10_02.xlsx&amp;sheet=A0&amp;row=755&amp;col=12&amp;number=&amp;sourceID=47","")</f>
        <v/>
      </c>
    </row>
    <row r="756" spans="1:12">
      <c r="A756" s="3">
        <v>10</v>
      </c>
      <c r="B756" s="3">
        <v>2</v>
      </c>
      <c r="C756" s="3">
        <v>43</v>
      </c>
      <c r="D756" s="3">
        <v>36</v>
      </c>
      <c r="E756" s="3"/>
      <c r="F756" s="4" t="str">
        <f>HYPERLINK("http://141.218.60.56/~jnz1568/getInfo.php?workbook=10_02.xlsx&amp;sheet=A0&amp;row=756&amp;col=6&amp;number=&amp;sourceID=27","")</f>
        <v/>
      </c>
      <c r="G756" s="4" t="str">
        <f>HYPERLINK("http://141.218.60.56/~jnz1568/getInfo.php?workbook=10_02.xlsx&amp;sheet=A0&amp;row=756&amp;col=7&amp;number=1233&amp;sourceID=32","1233")</f>
        <v>1233</v>
      </c>
      <c r="H756" s="4" t="str">
        <f>HYPERLINK("http://141.218.60.56/~jnz1568/getInfo.php?workbook=10_02.xlsx&amp;sheet=A0&amp;row=756&amp;col=8&amp;number=&amp;sourceID=32","")</f>
        <v/>
      </c>
      <c r="I756" s="4" t="str">
        <f>HYPERLINK("http://141.218.60.56/~jnz1568/getInfo.php?workbook=10_02.xlsx&amp;sheet=A0&amp;row=756&amp;col=9&amp;number=&amp;sourceID=32","")</f>
        <v/>
      </c>
      <c r="J756" s="4" t="str">
        <f>HYPERLINK("http://141.218.60.56/~jnz1568/getInfo.php?workbook=10_02.xlsx&amp;sheet=A0&amp;row=756&amp;col=10&amp;number=4.505e-09&amp;sourceID=32","4.505e-09")</f>
        <v>4.505e-09</v>
      </c>
      <c r="K756" s="4" t="str">
        <f>HYPERLINK("http://141.218.60.56/~jnz1568/getInfo.php?workbook=10_02.xlsx&amp;sheet=A0&amp;row=756&amp;col=11&amp;number=882.44&amp;sourceID=46","882.44")</f>
        <v>882.44</v>
      </c>
      <c r="L756" s="4" t="str">
        <f>HYPERLINK("http://141.218.60.56/~jnz1568/getInfo.php?workbook=10_02.xlsx&amp;sheet=A0&amp;row=756&amp;col=12&amp;number=&amp;sourceID=47","")</f>
        <v/>
      </c>
    </row>
    <row r="757" spans="1:12">
      <c r="A757" s="3">
        <v>10</v>
      </c>
      <c r="B757" s="3">
        <v>2</v>
      </c>
      <c r="C757" s="3">
        <v>43</v>
      </c>
      <c r="D757" s="3">
        <v>37</v>
      </c>
      <c r="E757" s="3"/>
      <c r="F757" s="4" t="str">
        <f>HYPERLINK("http://141.218.60.56/~jnz1568/getInfo.php?workbook=10_02.xlsx&amp;sheet=A0&amp;row=757&amp;col=6&amp;number=&amp;sourceID=27","")</f>
        <v/>
      </c>
      <c r="G757" s="4" t="str">
        <f>HYPERLINK("http://141.218.60.56/~jnz1568/getInfo.php?workbook=10_02.xlsx&amp;sheet=A0&amp;row=757&amp;col=7&amp;number=&amp;sourceID=32","")</f>
        <v/>
      </c>
      <c r="H757" s="4" t="str">
        <f>HYPERLINK("http://141.218.60.56/~jnz1568/getInfo.php?workbook=10_02.xlsx&amp;sheet=A0&amp;row=757&amp;col=8&amp;number=2.689e-11&amp;sourceID=32","2.689e-11")</f>
        <v>2.689e-11</v>
      </c>
      <c r="I757" s="4" t="str">
        <f>HYPERLINK("http://141.218.60.56/~jnz1568/getInfo.php?workbook=10_02.xlsx&amp;sheet=A0&amp;row=757&amp;col=9&amp;number=5.051e-06&amp;sourceID=32","5.051e-06")</f>
        <v>5.051e-06</v>
      </c>
      <c r="J757" s="4" t="str">
        <f>HYPERLINK("http://141.218.60.56/~jnz1568/getInfo.php?workbook=10_02.xlsx&amp;sheet=A0&amp;row=757&amp;col=10&amp;number=&amp;sourceID=32","")</f>
        <v/>
      </c>
      <c r="K757" s="4" t="str">
        <f>HYPERLINK("http://141.218.60.56/~jnz1568/getInfo.php?workbook=10_02.xlsx&amp;sheet=A0&amp;row=757&amp;col=11&amp;number=&amp;sourceID=46","")</f>
        <v/>
      </c>
      <c r="L757" s="4" t="str">
        <f>HYPERLINK("http://141.218.60.56/~jnz1568/getInfo.php?workbook=10_02.xlsx&amp;sheet=A0&amp;row=757&amp;col=12&amp;number=&amp;sourceID=47","")</f>
        <v/>
      </c>
    </row>
    <row r="758" spans="1:12">
      <c r="A758" s="3">
        <v>10</v>
      </c>
      <c r="B758" s="3">
        <v>2</v>
      </c>
      <c r="C758" s="3">
        <v>43</v>
      </c>
      <c r="D758" s="3">
        <v>38</v>
      </c>
      <c r="E758" s="3"/>
      <c r="F758" s="4" t="str">
        <f>HYPERLINK("http://141.218.60.56/~jnz1568/getInfo.php?workbook=10_02.xlsx&amp;sheet=A0&amp;row=758&amp;col=6&amp;number=&amp;sourceID=27","")</f>
        <v/>
      </c>
      <c r="G758" s="4" t="str">
        <f>HYPERLINK("http://141.218.60.56/~jnz1568/getInfo.php?workbook=10_02.xlsx&amp;sheet=A0&amp;row=758&amp;col=7&amp;number=&amp;sourceID=32","")</f>
        <v/>
      </c>
      <c r="H758" s="4" t="str">
        <f>HYPERLINK("http://141.218.60.56/~jnz1568/getInfo.php?workbook=10_02.xlsx&amp;sheet=A0&amp;row=758&amp;col=8&amp;number=1.584e-11&amp;sourceID=32","1.584e-11")</f>
        <v>1.584e-11</v>
      </c>
      <c r="I758" s="4" t="str">
        <f>HYPERLINK("http://141.218.60.56/~jnz1568/getInfo.php?workbook=10_02.xlsx&amp;sheet=A0&amp;row=758&amp;col=9&amp;number=8.549e-07&amp;sourceID=32","8.549e-07")</f>
        <v>8.549e-07</v>
      </c>
      <c r="J758" s="4" t="str">
        <f>HYPERLINK("http://141.218.60.56/~jnz1568/getInfo.php?workbook=10_02.xlsx&amp;sheet=A0&amp;row=758&amp;col=10&amp;number=&amp;sourceID=32","")</f>
        <v/>
      </c>
      <c r="K758" s="4" t="str">
        <f>HYPERLINK("http://141.218.60.56/~jnz1568/getInfo.php?workbook=10_02.xlsx&amp;sheet=A0&amp;row=758&amp;col=11&amp;number=&amp;sourceID=46","")</f>
        <v/>
      </c>
      <c r="L758" s="4" t="str">
        <f>HYPERLINK("http://141.218.60.56/~jnz1568/getInfo.php?workbook=10_02.xlsx&amp;sheet=A0&amp;row=758&amp;col=12&amp;number=&amp;sourceID=47","")</f>
        <v/>
      </c>
    </row>
    <row r="759" spans="1:12">
      <c r="A759" s="3">
        <v>10</v>
      </c>
      <c r="B759" s="3">
        <v>2</v>
      </c>
      <c r="C759" s="3">
        <v>43</v>
      </c>
      <c r="D759" s="3">
        <v>39</v>
      </c>
      <c r="E759" s="3"/>
      <c r="F759" s="4" t="str">
        <f>HYPERLINK("http://141.218.60.56/~jnz1568/getInfo.php?workbook=10_02.xlsx&amp;sheet=A0&amp;row=759&amp;col=6&amp;number=&amp;sourceID=27","")</f>
        <v/>
      </c>
      <c r="G759" s="4" t="str">
        <f>HYPERLINK("http://141.218.60.56/~jnz1568/getInfo.php?workbook=10_02.xlsx&amp;sheet=A0&amp;row=759&amp;col=7&amp;number=&amp;sourceID=32","")</f>
        <v/>
      </c>
      <c r="H759" s="4" t="str">
        <f>HYPERLINK("http://141.218.60.56/~jnz1568/getInfo.php?workbook=10_02.xlsx&amp;sheet=A0&amp;row=759&amp;col=8&amp;number=1.098e-11&amp;sourceID=32","1.098e-11")</f>
        <v>1.098e-11</v>
      </c>
      <c r="I759" s="4" t="str">
        <f>HYPERLINK("http://141.218.60.56/~jnz1568/getInfo.php?workbook=10_02.xlsx&amp;sheet=A0&amp;row=759&amp;col=9&amp;number=2.701e-06&amp;sourceID=32","2.701e-06")</f>
        <v>2.701e-06</v>
      </c>
      <c r="J759" s="4" t="str">
        <f>HYPERLINK("http://141.218.60.56/~jnz1568/getInfo.php?workbook=10_02.xlsx&amp;sheet=A0&amp;row=759&amp;col=10&amp;number=&amp;sourceID=32","")</f>
        <v/>
      </c>
      <c r="K759" s="4" t="str">
        <f>HYPERLINK("http://141.218.60.56/~jnz1568/getInfo.php?workbook=10_02.xlsx&amp;sheet=A0&amp;row=759&amp;col=11&amp;number=&amp;sourceID=46","")</f>
        <v/>
      </c>
      <c r="L759" s="4" t="str">
        <f>HYPERLINK("http://141.218.60.56/~jnz1568/getInfo.php?workbook=10_02.xlsx&amp;sheet=A0&amp;row=759&amp;col=12&amp;number=&amp;sourceID=47","")</f>
        <v/>
      </c>
    </row>
    <row r="760" spans="1:12">
      <c r="A760" s="3">
        <v>10</v>
      </c>
      <c r="B760" s="3">
        <v>2</v>
      </c>
      <c r="C760" s="3">
        <v>43</v>
      </c>
      <c r="D760" s="3">
        <v>39</v>
      </c>
      <c r="E760" s="3"/>
      <c r="F760" s="4" t="str">
        <f>HYPERLINK("http://141.218.60.56/~jnz1568/getInfo.php?workbook=10_02.xlsx&amp;sheet=A0&amp;row=760&amp;col=6&amp;number=&amp;sourceID=27","")</f>
        <v/>
      </c>
      <c r="G760" s="4" t="str">
        <f>HYPERLINK("http://141.218.60.56/~jnz1568/getInfo.php?workbook=10_02.xlsx&amp;sheet=A0&amp;row=760&amp;col=7&amp;number=&amp;sourceID=32","")</f>
        <v/>
      </c>
      <c r="H760" s="4" t="str">
        <f>HYPERLINK("http://141.218.60.56/~jnz1568/getInfo.php?workbook=10_02.xlsx&amp;sheet=A0&amp;row=760&amp;col=8&amp;number=1.098e-11&amp;sourceID=32","1.098e-11")</f>
        <v>1.098e-11</v>
      </c>
      <c r="I760" s="4" t="str">
        <f>HYPERLINK("http://141.218.60.56/~jnz1568/getInfo.php?workbook=10_02.xlsx&amp;sheet=A0&amp;row=760&amp;col=9&amp;number=2.701e-06&amp;sourceID=32","2.701e-06")</f>
        <v>2.701e-06</v>
      </c>
      <c r="J760" s="4" t="str">
        <f>HYPERLINK("http://141.218.60.56/~jnz1568/getInfo.php?workbook=10_02.xlsx&amp;sheet=A0&amp;row=760&amp;col=10&amp;number=&amp;sourceID=32","")</f>
        <v/>
      </c>
      <c r="K760" s="4" t="str">
        <f>HYPERLINK("http://141.218.60.56/~jnz1568/getInfo.php?workbook=10_02.xlsx&amp;sheet=A0&amp;row=760&amp;col=11&amp;number=&amp;sourceID=46","")</f>
        <v/>
      </c>
      <c r="L760" s="4" t="str">
        <f>HYPERLINK("http://141.218.60.56/~jnz1568/getInfo.php?workbook=10_02.xlsx&amp;sheet=A0&amp;row=760&amp;col=12&amp;number=&amp;sourceID=47","")</f>
        <v/>
      </c>
    </row>
    <row r="761" spans="1:12">
      <c r="A761" s="3">
        <v>10</v>
      </c>
      <c r="B761" s="3">
        <v>2</v>
      </c>
      <c r="C761" s="3">
        <v>44</v>
      </c>
      <c r="D761" s="3">
        <v>1</v>
      </c>
      <c r="E761" s="3">
        <f>((1/(INDEX(E0!J$4:J$52,C761,1)-INDEX(E0!J$4:J$52,D761,1))))*100000000</f>
        <v>0</v>
      </c>
      <c r="F761" s="4" t="str">
        <f>HYPERLINK("http://141.218.60.56/~jnz1568/getInfo.php?workbook=10_02.xlsx&amp;sheet=A0&amp;row=761&amp;col=6&amp;number=&amp;sourceID=27","")</f>
        <v/>
      </c>
      <c r="G761" s="4" t="str">
        <f>HYPERLINK("http://141.218.60.56/~jnz1568/getInfo.php?workbook=10_02.xlsx&amp;sheet=A0&amp;row=761&amp;col=7&amp;number=&amp;sourceID=32","")</f>
        <v/>
      </c>
      <c r="H761" s="4" t="str">
        <f>HYPERLINK("http://141.218.60.56/~jnz1568/getInfo.php?workbook=10_02.xlsx&amp;sheet=A0&amp;row=761&amp;col=8&amp;number=&amp;sourceID=32","")</f>
        <v/>
      </c>
      <c r="I761" s="4" t="str">
        <f>HYPERLINK("http://141.218.60.56/~jnz1568/getInfo.php?workbook=10_02.xlsx&amp;sheet=A0&amp;row=761&amp;col=9&amp;number=&amp;sourceID=32","")</f>
        <v/>
      </c>
      <c r="J761" s="4" t="str">
        <f>HYPERLINK("http://141.218.60.56/~jnz1568/getInfo.php?workbook=10_02.xlsx&amp;sheet=A0&amp;row=761&amp;col=10&amp;number=&amp;sourceID=32","")</f>
        <v/>
      </c>
      <c r="K761" s="4" t="str">
        <f>HYPERLINK("http://141.218.60.56/~jnz1568/getInfo.php?workbook=10_02.xlsx&amp;sheet=A0&amp;row=761&amp;col=11&amp;number=14310&amp;sourceID=46","14310")</f>
        <v>14310</v>
      </c>
      <c r="L761" s="4" t="str">
        <f>HYPERLINK("http://141.218.60.56/~jnz1568/getInfo.php?workbook=10_02.xlsx&amp;sheet=A0&amp;row=761&amp;col=12&amp;number=&amp;sourceID=47","")</f>
        <v/>
      </c>
    </row>
    <row r="762" spans="1:12">
      <c r="A762" s="3">
        <v>10</v>
      </c>
      <c r="B762" s="3">
        <v>2</v>
      </c>
      <c r="C762" s="3">
        <v>44</v>
      </c>
      <c r="D762" s="3">
        <v>2</v>
      </c>
      <c r="E762" s="3">
        <f>((1/(INDEX(E0!J$4:J$52,C762,1)-INDEX(E0!J$4:J$52,D762,1))))*100000000</f>
        <v>0</v>
      </c>
      <c r="F762" s="4" t="str">
        <f>HYPERLINK("http://141.218.60.56/~jnz1568/getInfo.php?workbook=10_02.xlsx&amp;sheet=A0&amp;row=762&amp;col=6&amp;number=&amp;sourceID=27","")</f>
        <v/>
      </c>
      <c r="G762" s="4" t="str">
        <f>HYPERLINK("http://141.218.60.56/~jnz1568/getInfo.php?workbook=10_02.xlsx&amp;sheet=A0&amp;row=762&amp;col=7&amp;number=&amp;sourceID=32","")</f>
        <v/>
      </c>
      <c r="H762" s="4" t="str">
        <f>HYPERLINK("http://141.218.60.56/~jnz1568/getInfo.php?workbook=10_02.xlsx&amp;sheet=A0&amp;row=762&amp;col=8&amp;number=&amp;sourceID=32","")</f>
        <v/>
      </c>
      <c r="I762" s="4" t="str">
        <f>HYPERLINK("http://141.218.60.56/~jnz1568/getInfo.php?workbook=10_02.xlsx&amp;sheet=A0&amp;row=762&amp;col=9&amp;number=&amp;sourceID=32","")</f>
        <v/>
      </c>
      <c r="J762" s="4" t="str">
        <f>HYPERLINK("http://141.218.60.56/~jnz1568/getInfo.php?workbook=10_02.xlsx&amp;sheet=A0&amp;row=762&amp;col=10&amp;number=2.449e-06&amp;sourceID=32","2.449e-06")</f>
        <v>2.449e-06</v>
      </c>
      <c r="K762" s="4" t="str">
        <f>HYPERLINK("http://141.218.60.56/~jnz1568/getInfo.php?workbook=10_02.xlsx&amp;sheet=A0&amp;row=762&amp;col=11&amp;number=1432.6&amp;sourceID=46","1432.6")</f>
        <v>1432.6</v>
      </c>
      <c r="L762" s="4" t="str">
        <f>HYPERLINK("http://141.218.60.56/~jnz1568/getInfo.php?workbook=10_02.xlsx&amp;sheet=A0&amp;row=762&amp;col=12&amp;number=&amp;sourceID=47","")</f>
        <v/>
      </c>
    </row>
    <row r="763" spans="1:12">
      <c r="A763" s="3">
        <v>10</v>
      </c>
      <c r="B763" s="3">
        <v>2</v>
      </c>
      <c r="C763" s="3">
        <v>44</v>
      </c>
      <c r="D763" s="3">
        <v>4</v>
      </c>
      <c r="E763" s="3">
        <f>((1/(INDEX(E0!J$4:J$52,C763,1)-INDEX(E0!J$4:J$52,D763,1))))*100000000</f>
        <v>0</v>
      </c>
      <c r="F763" s="4" t="str">
        <f>HYPERLINK("http://141.218.60.56/~jnz1568/getInfo.php?workbook=10_02.xlsx&amp;sheet=A0&amp;row=763&amp;col=6&amp;number=&amp;sourceID=27","")</f>
        <v/>
      </c>
      <c r="G763" s="4" t="str">
        <f>HYPERLINK("http://141.218.60.56/~jnz1568/getInfo.php?workbook=10_02.xlsx&amp;sheet=A0&amp;row=763&amp;col=7&amp;number=&amp;sourceID=32","")</f>
        <v/>
      </c>
      <c r="H763" s="4" t="str">
        <f>HYPERLINK("http://141.218.60.56/~jnz1568/getInfo.php?workbook=10_02.xlsx&amp;sheet=A0&amp;row=763&amp;col=8&amp;number=5402000&amp;sourceID=32","5402000")</f>
        <v>5402000</v>
      </c>
      <c r="I763" s="4" t="str">
        <f>HYPERLINK("http://141.218.60.56/~jnz1568/getInfo.php?workbook=10_02.xlsx&amp;sheet=A0&amp;row=763&amp;col=9&amp;number=&amp;sourceID=32","")</f>
        <v/>
      </c>
      <c r="J763" s="4" t="str">
        <f>HYPERLINK("http://141.218.60.56/~jnz1568/getInfo.php?workbook=10_02.xlsx&amp;sheet=A0&amp;row=763&amp;col=10&amp;number=&amp;sourceID=32","")</f>
        <v/>
      </c>
      <c r="K763" s="4" t="str">
        <f>HYPERLINK("http://141.218.60.56/~jnz1568/getInfo.php?workbook=10_02.xlsx&amp;sheet=A0&amp;row=763&amp;col=11&amp;number=5217100&amp;sourceID=46","5217100")</f>
        <v>5217100</v>
      </c>
      <c r="L763" s="4" t="str">
        <f>HYPERLINK("http://141.218.60.56/~jnz1568/getInfo.php?workbook=10_02.xlsx&amp;sheet=A0&amp;row=763&amp;col=12&amp;number=&amp;sourceID=47","")</f>
        <v/>
      </c>
    </row>
    <row r="764" spans="1:12">
      <c r="A764" s="3">
        <v>10</v>
      </c>
      <c r="B764" s="3">
        <v>2</v>
      </c>
      <c r="C764" s="3">
        <v>44</v>
      </c>
      <c r="D764" s="3">
        <v>5</v>
      </c>
      <c r="E764" s="3">
        <f>((1/(INDEX(E0!J$4:J$52,C764,1)-INDEX(E0!J$4:J$52,D764,1))))*100000000</f>
        <v>0</v>
      </c>
      <c r="F764" s="4" t="str">
        <f>HYPERLINK("http://141.218.60.56/~jnz1568/getInfo.php?workbook=10_02.xlsx&amp;sheet=A0&amp;row=764&amp;col=6&amp;number=&amp;sourceID=27","")</f>
        <v/>
      </c>
      <c r="G764" s="4" t="str">
        <f>HYPERLINK("http://141.218.60.56/~jnz1568/getInfo.php?workbook=10_02.xlsx&amp;sheet=A0&amp;row=764&amp;col=7&amp;number=&amp;sourceID=32","")</f>
        <v/>
      </c>
      <c r="H764" s="4" t="str">
        <f>HYPERLINK("http://141.218.60.56/~jnz1568/getInfo.php?workbook=10_02.xlsx&amp;sheet=A0&amp;row=764&amp;col=8&amp;number=2909000&amp;sourceID=32","2909000")</f>
        <v>2909000</v>
      </c>
      <c r="I764" s="4" t="str">
        <f>HYPERLINK("http://141.218.60.56/~jnz1568/getInfo.php?workbook=10_02.xlsx&amp;sheet=A0&amp;row=764&amp;col=9&amp;number=0.001153&amp;sourceID=32","0.001153")</f>
        <v>0.001153</v>
      </c>
      <c r="J764" s="4" t="str">
        <f>HYPERLINK("http://141.218.60.56/~jnz1568/getInfo.php?workbook=10_02.xlsx&amp;sheet=A0&amp;row=764&amp;col=10&amp;number=&amp;sourceID=32","")</f>
        <v/>
      </c>
      <c r="K764" s="4" t="str">
        <f>HYPERLINK("http://141.218.60.56/~jnz1568/getInfo.php?workbook=10_02.xlsx&amp;sheet=A0&amp;row=764&amp;col=11&amp;number=2782800&amp;sourceID=46","2782800")</f>
        <v>2782800</v>
      </c>
      <c r="L764" s="4" t="str">
        <f>HYPERLINK("http://141.218.60.56/~jnz1568/getInfo.php?workbook=10_02.xlsx&amp;sheet=A0&amp;row=764&amp;col=12&amp;number=&amp;sourceID=47","")</f>
        <v/>
      </c>
    </row>
    <row r="765" spans="1:12">
      <c r="A765" s="3">
        <v>10</v>
      </c>
      <c r="B765" s="3">
        <v>2</v>
      </c>
      <c r="C765" s="3">
        <v>44</v>
      </c>
      <c r="D765" s="3">
        <v>6</v>
      </c>
      <c r="E765" s="3">
        <f>((1/(INDEX(E0!J$4:J$52,C765,1)-INDEX(E0!J$4:J$52,D765,1))))*100000000</f>
        <v>0</v>
      </c>
      <c r="F765" s="4" t="str">
        <f>HYPERLINK("http://141.218.60.56/~jnz1568/getInfo.php?workbook=10_02.xlsx&amp;sheet=A0&amp;row=765&amp;col=6&amp;number=&amp;sourceID=27","")</f>
        <v/>
      </c>
      <c r="G765" s="4" t="str">
        <f>HYPERLINK("http://141.218.60.56/~jnz1568/getInfo.php?workbook=10_02.xlsx&amp;sheet=A0&amp;row=765&amp;col=7&amp;number=&amp;sourceID=32","")</f>
        <v/>
      </c>
      <c r="H765" s="4" t="str">
        <f>HYPERLINK("http://141.218.60.56/~jnz1568/getInfo.php?workbook=10_02.xlsx&amp;sheet=A0&amp;row=765&amp;col=8&amp;number=&amp;sourceID=32","")</f>
        <v/>
      </c>
      <c r="I765" s="4" t="str">
        <f>HYPERLINK("http://141.218.60.56/~jnz1568/getInfo.php?workbook=10_02.xlsx&amp;sheet=A0&amp;row=765&amp;col=9&amp;number=&amp;sourceID=32","")</f>
        <v/>
      </c>
      <c r="J765" s="4" t="str">
        <f>HYPERLINK("http://141.218.60.56/~jnz1568/getInfo.php?workbook=10_02.xlsx&amp;sheet=A0&amp;row=765&amp;col=10&amp;number=&amp;sourceID=32","")</f>
        <v/>
      </c>
      <c r="K765" s="4" t="str">
        <f>HYPERLINK("http://141.218.60.56/~jnz1568/getInfo.php?workbook=10_02.xlsx&amp;sheet=A0&amp;row=765&amp;col=11&amp;number=1903.9&amp;sourceID=46","1903.9")</f>
        <v>1903.9</v>
      </c>
      <c r="L765" s="4" t="str">
        <f>HYPERLINK("http://141.218.60.56/~jnz1568/getInfo.php?workbook=10_02.xlsx&amp;sheet=A0&amp;row=765&amp;col=12&amp;number=&amp;sourceID=47","")</f>
        <v/>
      </c>
    </row>
    <row r="766" spans="1:12">
      <c r="A766" s="3">
        <v>10</v>
      </c>
      <c r="B766" s="3">
        <v>2</v>
      </c>
      <c r="C766" s="3">
        <v>44</v>
      </c>
      <c r="D766" s="3">
        <v>7</v>
      </c>
      <c r="E766" s="3">
        <f>((1/(INDEX(E0!J$4:J$52,C766,1)-INDEX(E0!J$4:J$52,D766,1))))*100000000</f>
        <v>0</v>
      </c>
      <c r="F766" s="4" t="str">
        <f>HYPERLINK("http://141.218.60.56/~jnz1568/getInfo.php?workbook=10_02.xlsx&amp;sheet=A0&amp;row=766&amp;col=6&amp;number=&amp;sourceID=27","")</f>
        <v/>
      </c>
      <c r="G766" s="4" t="str">
        <f>HYPERLINK("http://141.218.60.56/~jnz1568/getInfo.php?workbook=10_02.xlsx&amp;sheet=A0&amp;row=766&amp;col=7&amp;number=&amp;sourceID=32","")</f>
        <v/>
      </c>
      <c r="H766" s="4" t="str">
        <f>HYPERLINK("http://141.218.60.56/~jnz1568/getInfo.php?workbook=10_02.xlsx&amp;sheet=A0&amp;row=766&amp;col=8&amp;number=13660000&amp;sourceID=32","13660000")</f>
        <v>13660000</v>
      </c>
      <c r="I766" s="4" t="str">
        <f>HYPERLINK("http://141.218.60.56/~jnz1568/getInfo.php?workbook=10_02.xlsx&amp;sheet=A0&amp;row=766&amp;col=9&amp;number=&amp;sourceID=32","")</f>
        <v/>
      </c>
      <c r="J766" s="4" t="str">
        <f>HYPERLINK("http://141.218.60.56/~jnz1568/getInfo.php?workbook=10_02.xlsx&amp;sheet=A0&amp;row=766&amp;col=10&amp;number=&amp;sourceID=32","")</f>
        <v/>
      </c>
      <c r="K766" s="4" t="str">
        <f>HYPERLINK("http://141.218.60.56/~jnz1568/getInfo.php?workbook=10_02.xlsx&amp;sheet=A0&amp;row=766&amp;col=11&amp;number=13669000&amp;sourceID=46","13669000")</f>
        <v>13669000</v>
      </c>
      <c r="L766" s="4" t="str">
        <f>HYPERLINK("http://141.218.60.56/~jnz1568/getInfo.php?workbook=10_02.xlsx&amp;sheet=A0&amp;row=766&amp;col=12&amp;number=&amp;sourceID=47","")</f>
        <v/>
      </c>
    </row>
    <row r="767" spans="1:12">
      <c r="A767" s="3">
        <v>10</v>
      </c>
      <c r="B767" s="3">
        <v>2</v>
      </c>
      <c r="C767" s="3">
        <v>44</v>
      </c>
      <c r="D767" s="3">
        <v>8</v>
      </c>
      <c r="E767" s="3">
        <f>((1/(INDEX(E0!J$4:J$52,C767,1)-INDEX(E0!J$4:J$52,D767,1))))*100000000</f>
        <v>0</v>
      </c>
      <c r="F767" s="4" t="str">
        <f>HYPERLINK("http://141.218.60.56/~jnz1568/getInfo.php?workbook=10_02.xlsx&amp;sheet=A0&amp;row=767&amp;col=6&amp;number=&amp;sourceID=27","")</f>
        <v/>
      </c>
      <c r="G767" s="4" t="str">
        <f>HYPERLINK("http://141.218.60.56/~jnz1568/getInfo.php?workbook=10_02.xlsx&amp;sheet=A0&amp;row=767&amp;col=7&amp;number=&amp;sourceID=32","")</f>
        <v/>
      </c>
      <c r="H767" s="4" t="str">
        <f>HYPERLINK("http://141.218.60.56/~jnz1568/getInfo.php?workbook=10_02.xlsx&amp;sheet=A0&amp;row=767&amp;col=8&amp;number=&amp;sourceID=32","")</f>
        <v/>
      </c>
      <c r="I767" s="4" t="str">
        <f>HYPERLINK("http://141.218.60.56/~jnz1568/getInfo.php?workbook=10_02.xlsx&amp;sheet=A0&amp;row=767&amp;col=9&amp;number=&amp;sourceID=32","")</f>
        <v/>
      </c>
      <c r="J767" s="4" t="str">
        <f>HYPERLINK("http://141.218.60.56/~jnz1568/getInfo.php?workbook=10_02.xlsx&amp;sheet=A0&amp;row=767&amp;col=10&amp;number=2.243e-06&amp;sourceID=32","2.243e-06")</f>
        <v>2.243e-06</v>
      </c>
      <c r="K767" s="4" t="str">
        <f>HYPERLINK("http://141.218.60.56/~jnz1568/getInfo.php?workbook=10_02.xlsx&amp;sheet=A0&amp;row=767&amp;col=11&amp;number=12.916&amp;sourceID=46","12.916")</f>
        <v>12.916</v>
      </c>
      <c r="L767" s="4" t="str">
        <f>HYPERLINK("http://141.218.60.56/~jnz1568/getInfo.php?workbook=10_02.xlsx&amp;sheet=A0&amp;row=767&amp;col=12&amp;number=&amp;sourceID=47","")</f>
        <v/>
      </c>
    </row>
    <row r="768" spans="1:12">
      <c r="A768" s="3">
        <v>10</v>
      </c>
      <c r="B768" s="3">
        <v>2</v>
      </c>
      <c r="C768" s="3">
        <v>44</v>
      </c>
      <c r="D768" s="3">
        <v>10</v>
      </c>
      <c r="E768" s="3">
        <f>((1/(INDEX(E0!J$4:J$52,C768,1)-INDEX(E0!J$4:J$52,D768,1))))*100000000</f>
        <v>0</v>
      </c>
      <c r="F768" s="4" t="str">
        <f>HYPERLINK("http://141.218.60.56/~jnz1568/getInfo.php?workbook=10_02.xlsx&amp;sheet=A0&amp;row=768&amp;col=6&amp;number=&amp;sourceID=27","")</f>
        <v/>
      </c>
      <c r="G768" s="4" t="str">
        <f>HYPERLINK("http://141.218.60.56/~jnz1568/getInfo.php?workbook=10_02.xlsx&amp;sheet=A0&amp;row=768&amp;col=7&amp;number=&amp;sourceID=32","")</f>
        <v/>
      </c>
      <c r="H768" s="4" t="str">
        <f>HYPERLINK("http://141.218.60.56/~jnz1568/getInfo.php?workbook=10_02.xlsx&amp;sheet=A0&amp;row=768&amp;col=8&amp;number=9595&amp;sourceID=32","9595")</f>
        <v>9595</v>
      </c>
      <c r="I768" s="4" t="str">
        <f>HYPERLINK("http://141.218.60.56/~jnz1568/getInfo.php?workbook=10_02.xlsx&amp;sheet=A0&amp;row=768&amp;col=9&amp;number=&amp;sourceID=32","")</f>
        <v/>
      </c>
      <c r="J768" s="4" t="str">
        <f>HYPERLINK("http://141.218.60.56/~jnz1568/getInfo.php?workbook=10_02.xlsx&amp;sheet=A0&amp;row=768&amp;col=10&amp;number=&amp;sourceID=32","")</f>
        <v/>
      </c>
      <c r="K768" s="4" t="str">
        <f>HYPERLINK("http://141.218.60.56/~jnz1568/getInfo.php?workbook=10_02.xlsx&amp;sheet=A0&amp;row=768&amp;col=11&amp;number=9148&amp;sourceID=46","9148")</f>
        <v>9148</v>
      </c>
      <c r="L768" s="4" t="str">
        <f>HYPERLINK("http://141.218.60.56/~jnz1568/getInfo.php?workbook=10_02.xlsx&amp;sheet=A0&amp;row=768&amp;col=12&amp;number=&amp;sourceID=47","")</f>
        <v/>
      </c>
    </row>
    <row r="769" spans="1:12">
      <c r="A769" s="3">
        <v>10</v>
      </c>
      <c r="B769" s="3">
        <v>2</v>
      </c>
      <c r="C769" s="3">
        <v>44</v>
      </c>
      <c r="D769" s="3">
        <v>11</v>
      </c>
      <c r="E769" s="3">
        <f>((1/(INDEX(E0!J$4:J$52,C769,1)-INDEX(E0!J$4:J$52,D769,1))))*100000000</f>
        <v>0</v>
      </c>
      <c r="F769" s="4" t="str">
        <f>HYPERLINK("http://141.218.60.56/~jnz1568/getInfo.php?workbook=10_02.xlsx&amp;sheet=A0&amp;row=769&amp;col=6&amp;number=&amp;sourceID=27","")</f>
        <v/>
      </c>
      <c r="G769" s="4" t="str">
        <f>HYPERLINK("http://141.218.60.56/~jnz1568/getInfo.php?workbook=10_02.xlsx&amp;sheet=A0&amp;row=769&amp;col=7&amp;number=&amp;sourceID=32","")</f>
        <v/>
      </c>
      <c r="H769" s="4" t="str">
        <f>HYPERLINK("http://141.218.60.56/~jnz1568/getInfo.php?workbook=10_02.xlsx&amp;sheet=A0&amp;row=769&amp;col=8&amp;number=&amp;sourceID=32","")</f>
        <v/>
      </c>
      <c r="I769" s="4" t="str">
        <f>HYPERLINK("http://141.218.60.56/~jnz1568/getInfo.php?workbook=10_02.xlsx&amp;sheet=A0&amp;row=769&amp;col=9&amp;number=&amp;sourceID=32","")</f>
        <v/>
      </c>
      <c r="J769" s="4" t="str">
        <f>HYPERLINK("http://141.218.60.56/~jnz1568/getInfo.php?workbook=10_02.xlsx&amp;sheet=A0&amp;row=769&amp;col=10&amp;number=&amp;sourceID=32","")</f>
        <v/>
      </c>
      <c r="K769" s="4" t="str">
        <f>HYPERLINK("http://141.218.60.56/~jnz1568/getInfo.php?workbook=10_02.xlsx&amp;sheet=A0&amp;row=769&amp;col=11&amp;number=26.146&amp;sourceID=46","26.146")</f>
        <v>26.146</v>
      </c>
      <c r="L769" s="4" t="str">
        <f>HYPERLINK("http://141.218.60.56/~jnz1568/getInfo.php?workbook=10_02.xlsx&amp;sheet=A0&amp;row=769&amp;col=12&amp;number=&amp;sourceID=47","")</f>
        <v/>
      </c>
    </row>
    <row r="770" spans="1:12">
      <c r="A770" s="3">
        <v>10</v>
      </c>
      <c r="B770" s="3">
        <v>2</v>
      </c>
      <c r="C770" s="3">
        <v>44</v>
      </c>
      <c r="D770" s="3">
        <v>12</v>
      </c>
      <c r="E770" s="3">
        <f>((1/(INDEX(E0!J$4:J$52,C770,1)-INDEX(E0!J$4:J$52,D770,1))))*100000000</f>
        <v>0</v>
      </c>
      <c r="F770" s="4" t="str">
        <f>HYPERLINK("http://141.218.60.56/~jnz1568/getInfo.php?workbook=10_02.xlsx&amp;sheet=A0&amp;row=770&amp;col=6&amp;number=&amp;sourceID=27","")</f>
        <v/>
      </c>
      <c r="G770" s="4" t="str">
        <f>HYPERLINK("http://141.218.60.56/~jnz1568/getInfo.php?workbook=10_02.xlsx&amp;sheet=A0&amp;row=770&amp;col=7&amp;number=&amp;sourceID=32","")</f>
        <v/>
      </c>
      <c r="H770" s="4" t="str">
        <f>HYPERLINK("http://141.218.60.56/~jnz1568/getInfo.php?workbook=10_02.xlsx&amp;sheet=A0&amp;row=770&amp;col=8&amp;number=5040&amp;sourceID=32","5040")</f>
        <v>5040</v>
      </c>
      <c r="I770" s="4" t="str">
        <f>HYPERLINK("http://141.218.60.56/~jnz1568/getInfo.php?workbook=10_02.xlsx&amp;sheet=A0&amp;row=770&amp;col=9&amp;number=2.17e-05&amp;sourceID=32","2.17e-05")</f>
        <v>2.17e-05</v>
      </c>
      <c r="J770" s="4" t="str">
        <f>HYPERLINK("http://141.218.60.56/~jnz1568/getInfo.php?workbook=10_02.xlsx&amp;sheet=A0&amp;row=770&amp;col=10&amp;number=&amp;sourceID=32","")</f>
        <v/>
      </c>
      <c r="K770" s="4" t="str">
        <f>HYPERLINK("http://141.218.60.56/~jnz1568/getInfo.php?workbook=10_02.xlsx&amp;sheet=A0&amp;row=770&amp;col=11&amp;number=4763.7&amp;sourceID=46","4763.7")</f>
        <v>4763.7</v>
      </c>
      <c r="L770" s="4" t="str">
        <f>HYPERLINK("http://141.218.60.56/~jnz1568/getInfo.php?workbook=10_02.xlsx&amp;sheet=A0&amp;row=770&amp;col=12&amp;number=&amp;sourceID=47","")</f>
        <v/>
      </c>
    </row>
    <row r="771" spans="1:12">
      <c r="A771" s="3">
        <v>10</v>
      </c>
      <c r="B771" s="3">
        <v>2</v>
      </c>
      <c r="C771" s="3">
        <v>44</v>
      </c>
      <c r="D771" s="3">
        <v>13</v>
      </c>
      <c r="E771" s="3">
        <f>((1/(INDEX(E0!J$4:J$52,C771,1)-INDEX(E0!J$4:J$52,D771,1))))*100000000</f>
        <v>0</v>
      </c>
      <c r="F771" s="4" t="str">
        <f>HYPERLINK("http://141.218.60.56/~jnz1568/getInfo.php?workbook=10_02.xlsx&amp;sheet=A0&amp;row=771&amp;col=6&amp;number=&amp;sourceID=27","")</f>
        <v/>
      </c>
      <c r="G771" s="4" t="str">
        <f>HYPERLINK("http://141.218.60.56/~jnz1568/getInfo.php?workbook=10_02.xlsx&amp;sheet=A0&amp;row=771&amp;col=7&amp;number=&amp;sourceID=32","")</f>
        <v/>
      </c>
      <c r="H771" s="4" t="str">
        <f>HYPERLINK("http://141.218.60.56/~jnz1568/getInfo.php?workbook=10_02.xlsx&amp;sheet=A0&amp;row=771&amp;col=8&amp;number=&amp;sourceID=32","")</f>
        <v/>
      </c>
      <c r="I771" s="4" t="str">
        <f>HYPERLINK("http://141.218.60.56/~jnz1568/getInfo.php?workbook=10_02.xlsx&amp;sheet=A0&amp;row=771&amp;col=9&amp;number=&amp;sourceID=32","")</f>
        <v/>
      </c>
      <c r="J771" s="4" t="str">
        <f>HYPERLINK("http://141.218.60.56/~jnz1568/getInfo.php?workbook=10_02.xlsx&amp;sheet=A0&amp;row=771&amp;col=10&amp;number=33.07&amp;sourceID=32","33.07")</f>
        <v>33.07</v>
      </c>
      <c r="K771" s="4" t="str">
        <f>HYPERLINK("http://141.218.60.56/~jnz1568/getInfo.php?workbook=10_02.xlsx&amp;sheet=A0&amp;row=771&amp;col=11&amp;number=33.823&amp;sourceID=46","33.823")</f>
        <v>33.823</v>
      </c>
      <c r="L771" s="4" t="str">
        <f>HYPERLINK("http://141.218.60.56/~jnz1568/getInfo.php?workbook=10_02.xlsx&amp;sheet=A0&amp;row=771&amp;col=12&amp;number=&amp;sourceID=47","")</f>
        <v/>
      </c>
    </row>
    <row r="772" spans="1:12">
      <c r="A772" s="3">
        <v>10</v>
      </c>
      <c r="B772" s="3">
        <v>2</v>
      </c>
      <c r="C772" s="3">
        <v>44</v>
      </c>
      <c r="D772" s="3">
        <v>14</v>
      </c>
      <c r="E772" s="3">
        <f>((1/(INDEX(E0!J$4:J$52,C772,1)-INDEX(E0!J$4:J$52,D772,1))))*100000000</f>
        <v>0</v>
      </c>
      <c r="F772" s="4" t="str">
        <f>HYPERLINK("http://141.218.60.56/~jnz1568/getInfo.php?workbook=10_02.xlsx&amp;sheet=A0&amp;row=772&amp;col=6&amp;number=&amp;sourceID=27","")</f>
        <v/>
      </c>
      <c r="G772" s="4" t="str">
        <f>HYPERLINK("http://141.218.60.56/~jnz1568/getInfo.php?workbook=10_02.xlsx&amp;sheet=A0&amp;row=772&amp;col=7&amp;number=5213000000&amp;sourceID=32","5213000000")</f>
        <v>5213000000</v>
      </c>
      <c r="H772" s="4" t="str">
        <f>HYPERLINK("http://141.218.60.56/~jnz1568/getInfo.php?workbook=10_02.xlsx&amp;sheet=A0&amp;row=772&amp;col=8&amp;number=&amp;sourceID=32","")</f>
        <v/>
      </c>
      <c r="I772" s="4" t="str">
        <f>HYPERLINK("http://141.218.60.56/~jnz1568/getInfo.php?workbook=10_02.xlsx&amp;sheet=A0&amp;row=772&amp;col=9&amp;number=&amp;sourceID=32","")</f>
        <v/>
      </c>
      <c r="J772" s="4" t="str">
        <f>HYPERLINK("http://141.218.60.56/~jnz1568/getInfo.php?workbook=10_02.xlsx&amp;sheet=A0&amp;row=772&amp;col=10&amp;number=76.31&amp;sourceID=32","76.31")</f>
        <v>76.31</v>
      </c>
      <c r="K772" s="4" t="str">
        <f>HYPERLINK("http://141.218.60.56/~jnz1568/getInfo.php?workbook=10_02.xlsx&amp;sheet=A0&amp;row=772&amp;col=11&amp;number=5656200000&amp;sourceID=46","5656200000")</f>
        <v>5656200000</v>
      </c>
      <c r="L772" s="4" t="str">
        <f>HYPERLINK("http://141.218.60.56/~jnz1568/getInfo.php?workbook=10_02.xlsx&amp;sheet=A0&amp;row=772&amp;col=12&amp;number=&amp;sourceID=47","")</f>
        <v/>
      </c>
    </row>
    <row r="773" spans="1:12">
      <c r="A773" s="3">
        <v>10</v>
      </c>
      <c r="B773" s="3">
        <v>2</v>
      </c>
      <c r="C773" s="3">
        <v>44</v>
      </c>
      <c r="D773" s="3">
        <v>15</v>
      </c>
      <c r="E773" s="3">
        <f>((1/(INDEX(E0!J$4:J$52,C773,1)-INDEX(E0!J$4:J$52,D773,1))))*100000000</f>
        <v>0</v>
      </c>
      <c r="F773" s="4" t="str">
        <f>HYPERLINK("http://141.218.60.56/~jnz1568/getInfo.php?workbook=10_02.xlsx&amp;sheet=A0&amp;row=773&amp;col=6&amp;number=&amp;sourceID=27","")</f>
        <v/>
      </c>
      <c r="G773" s="4" t="str">
        <f>HYPERLINK("http://141.218.60.56/~jnz1568/getInfo.php?workbook=10_02.xlsx&amp;sheet=A0&amp;row=773&amp;col=7&amp;number=1305000000&amp;sourceID=32","1305000000")</f>
        <v>1305000000</v>
      </c>
      <c r="H773" s="4" t="str">
        <f>HYPERLINK("http://141.218.60.56/~jnz1568/getInfo.php?workbook=10_02.xlsx&amp;sheet=A0&amp;row=773&amp;col=8&amp;number=&amp;sourceID=32","")</f>
        <v/>
      </c>
      <c r="I773" s="4" t="str">
        <f>HYPERLINK("http://141.218.60.56/~jnz1568/getInfo.php?workbook=10_02.xlsx&amp;sheet=A0&amp;row=773&amp;col=9&amp;number=&amp;sourceID=32","")</f>
        <v/>
      </c>
      <c r="J773" s="4" t="str">
        <f>HYPERLINK("http://141.218.60.56/~jnz1568/getInfo.php?workbook=10_02.xlsx&amp;sheet=A0&amp;row=773&amp;col=10&amp;number=36.97&amp;sourceID=32","36.97")</f>
        <v>36.97</v>
      </c>
      <c r="K773" s="4" t="str">
        <f>HYPERLINK("http://141.218.60.56/~jnz1568/getInfo.php?workbook=10_02.xlsx&amp;sheet=A0&amp;row=773&amp;col=11&amp;number=1230100000&amp;sourceID=46","1230100000")</f>
        <v>1230100000</v>
      </c>
      <c r="L773" s="4" t="str">
        <f>HYPERLINK("http://141.218.60.56/~jnz1568/getInfo.php?workbook=10_02.xlsx&amp;sheet=A0&amp;row=773&amp;col=12&amp;number=&amp;sourceID=47","")</f>
        <v/>
      </c>
    </row>
    <row r="774" spans="1:12">
      <c r="A774" s="3">
        <v>10</v>
      </c>
      <c r="B774" s="3">
        <v>2</v>
      </c>
      <c r="C774" s="3">
        <v>44</v>
      </c>
      <c r="D774" s="3">
        <v>16</v>
      </c>
      <c r="E774" s="3">
        <f>((1/(INDEX(E0!J$4:J$52,C774,1)-INDEX(E0!J$4:J$52,D774,1))))*100000000</f>
        <v>0</v>
      </c>
      <c r="F774" s="4" t="str">
        <f>HYPERLINK("http://141.218.60.56/~jnz1568/getInfo.php?workbook=10_02.xlsx&amp;sheet=A0&amp;row=774&amp;col=6&amp;number=&amp;sourceID=27","")</f>
        <v/>
      </c>
      <c r="G774" s="4" t="str">
        <f>HYPERLINK("http://141.218.60.56/~jnz1568/getInfo.php?workbook=10_02.xlsx&amp;sheet=A0&amp;row=774&amp;col=7&amp;number=23300000000&amp;sourceID=32","23300000000")</f>
        <v>23300000000</v>
      </c>
      <c r="H774" s="4" t="str">
        <f>HYPERLINK("http://141.218.60.56/~jnz1568/getInfo.php?workbook=10_02.xlsx&amp;sheet=A0&amp;row=774&amp;col=8&amp;number=&amp;sourceID=32","")</f>
        <v/>
      </c>
      <c r="I774" s="4" t="str">
        <f>HYPERLINK("http://141.218.60.56/~jnz1568/getInfo.php?workbook=10_02.xlsx&amp;sheet=A0&amp;row=774&amp;col=9&amp;number=&amp;sourceID=32","")</f>
        <v/>
      </c>
      <c r="J774" s="4" t="str">
        <f>HYPERLINK("http://141.218.60.56/~jnz1568/getInfo.php?workbook=10_02.xlsx&amp;sheet=A0&amp;row=774&amp;col=10&amp;number=149.4&amp;sourceID=32","149.4")</f>
        <v>149.4</v>
      </c>
      <c r="K774" s="4" t="str">
        <f>HYPERLINK("http://141.218.60.56/~jnz1568/getInfo.php?workbook=10_02.xlsx&amp;sheet=A0&amp;row=774&amp;col=11&amp;number=22939000000&amp;sourceID=46","22939000000")</f>
        <v>22939000000</v>
      </c>
      <c r="L774" s="4" t="str">
        <f>HYPERLINK("http://141.218.60.56/~jnz1568/getInfo.php?workbook=10_02.xlsx&amp;sheet=A0&amp;row=774&amp;col=12&amp;number=&amp;sourceID=47","")</f>
        <v/>
      </c>
    </row>
    <row r="775" spans="1:12">
      <c r="A775" s="3">
        <v>10</v>
      </c>
      <c r="B775" s="3">
        <v>2</v>
      </c>
      <c r="C775" s="3">
        <v>44</v>
      </c>
      <c r="D775" s="3">
        <v>17</v>
      </c>
      <c r="E775" s="3">
        <f>((1/(INDEX(E0!J$4:J$52,C775,1)-INDEX(E0!J$4:J$52,D775,1))))*100000000</f>
        <v>0</v>
      </c>
      <c r="F775" s="4" t="str">
        <f>HYPERLINK("http://141.218.60.56/~jnz1568/getInfo.php?workbook=10_02.xlsx&amp;sheet=A0&amp;row=775&amp;col=6&amp;number=&amp;sourceID=27","")</f>
        <v/>
      </c>
      <c r="G775" s="4" t="str">
        <f>HYPERLINK("http://141.218.60.56/~jnz1568/getInfo.php?workbook=10_02.xlsx&amp;sheet=A0&amp;row=775&amp;col=7&amp;number=&amp;sourceID=32","")</f>
        <v/>
      </c>
      <c r="H775" s="4" t="str">
        <f>HYPERLINK("http://141.218.60.56/~jnz1568/getInfo.php?workbook=10_02.xlsx&amp;sheet=A0&amp;row=775&amp;col=8&amp;number=5658&amp;sourceID=32","5658")</f>
        <v>5658</v>
      </c>
      <c r="I775" s="4" t="str">
        <f>HYPERLINK("http://141.218.60.56/~jnz1568/getInfo.php?workbook=10_02.xlsx&amp;sheet=A0&amp;row=775&amp;col=9&amp;number=&amp;sourceID=32","")</f>
        <v/>
      </c>
      <c r="J775" s="4" t="str">
        <f>HYPERLINK("http://141.218.60.56/~jnz1568/getInfo.php?workbook=10_02.xlsx&amp;sheet=A0&amp;row=775&amp;col=10&amp;number=&amp;sourceID=32","")</f>
        <v/>
      </c>
      <c r="K775" s="4" t="str">
        <f>HYPERLINK("http://141.218.60.56/~jnz1568/getInfo.php?workbook=10_02.xlsx&amp;sheet=A0&amp;row=775&amp;col=11&amp;number=5793.4&amp;sourceID=46","5793.4")</f>
        <v>5793.4</v>
      </c>
      <c r="L775" s="4" t="str">
        <f>HYPERLINK("http://141.218.60.56/~jnz1568/getInfo.php?workbook=10_02.xlsx&amp;sheet=A0&amp;row=775&amp;col=12&amp;number=&amp;sourceID=47","")</f>
        <v/>
      </c>
    </row>
    <row r="776" spans="1:12">
      <c r="A776" s="3">
        <v>10</v>
      </c>
      <c r="B776" s="3">
        <v>2</v>
      </c>
      <c r="C776" s="3">
        <v>44</v>
      </c>
      <c r="D776" s="3">
        <v>18</v>
      </c>
      <c r="E776" s="3">
        <f>((1/(INDEX(E0!J$4:J$52,C776,1)-INDEX(E0!J$4:J$52,D776,1))))*100000000</f>
        <v>0</v>
      </c>
      <c r="F776" s="4" t="str">
        <f>HYPERLINK("http://141.218.60.56/~jnz1568/getInfo.php?workbook=10_02.xlsx&amp;sheet=A0&amp;row=776&amp;col=6&amp;number=&amp;sourceID=27","")</f>
        <v/>
      </c>
      <c r="G776" s="4" t="str">
        <f>HYPERLINK("http://141.218.60.56/~jnz1568/getInfo.php?workbook=10_02.xlsx&amp;sheet=A0&amp;row=776&amp;col=7&amp;number=&amp;sourceID=32","")</f>
        <v/>
      </c>
      <c r="H776" s="4" t="str">
        <f>HYPERLINK("http://141.218.60.56/~jnz1568/getInfo.php?workbook=10_02.xlsx&amp;sheet=A0&amp;row=776&amp;col=8&amp;number=&amp;sourceID=32","")</f>
        <v/>
      </c>
      <c r="I776" s="4" t="str">
        <f>HYPERLINK("http://141.218.60.56/~jnz1568/getInfo.php?workbook=10_02.xlsx&amp;sheet=A0&amp;row=776&amp;col=9&amp;number=&amp;sourceID=32","")</f>
        <v/>
      </c>
      <c r="J776" s="4" t="str">
        <f>HYPERLINK("http://141.218.60.56/~jnz1568/getInfo.php?workbook=10_02.xlsx&amp;sheet=A0&amp;row=776&amp;col=10&amp;number=1.53e-07&amp;sourceID=32","1.53e-07")</f>
        <v>1.53e-07</v>
      </c>
      <c r="K776" s="4" t="str">
        <f>HYPERLINK("http://141.218.60.56/~jnz1568/getInfo.php?workbook=10_02.xlsx&amp;sheet=A0&amp;row=776&amp;col=11&amp;number=2.7231&amp;sourceID=46","2.7231")</f>
        <v>2.7231</v>
      </c>
      <c r="L776" s="4" t="str">
        <f>HYPERLINK("http://141.218.60.56/~jnz1568/getInfo.php?workbook=10_02.xlsx&amp;sheet=A0&amp;row=776&amp;col=12&amp;number=&amp;sourceID=47","")</f>
        <v/>
      </c>
    </row>
    <row r="777" spans="1:12">
      <c r="A777" s="3">
        <v>10</v>
      </c>
      <c r="B777" s="3">
        <v>2</v>
      </c>
      <c r="C777" s="3">
        <v>44</v>
      </c>
      <c r="D777" s="3">
        <v>20</v>
      </c>
      <c r="E777" s="3">
        <f>((1/(INDEX(E0!J$4:J$52,C777,1)-INDEX(E0!J$4:J$52,D777,1))))*100000000</f>
        <v>0</v>
      </c>
      <c r="F777" s="4" t="str">
        <f>HYPERLINK("http://141.218.60.56/~jnz1568/getInfo.php?workbook=10_02.xlsx&amp;sheet=A0&amp;row=777&amp;col=6&amp;number=&amp;sourceID=27","")</f>
        <v/>
      </c>
      <c r="G777" s="4" t="str">
        <f>HYPERLINK("http://141.218.60.56/~jnz1568/getInfo.php?workbook=10_02.xlsx&amp;sheet=A0&amp;row=777&amp;col=7&amp;number=&amp;sourceID=32","")</f>
        <v/>
      </c>
      <c r="H777" s="4" t="str">
        <f>HYPERLINK("http://141.218.60.56/~jnz1568/getInfo.php?workbook=10_02.xlsx&amp;sheet=A0&amp;row=777&amp;col=8&amp;number=129200&amp;sourceID=32","129200")</f>
        <v>129200</v>
      </c>
      <c r="I777" s="4" t="str">
        <f>HYPERLINK("http://141.218.60.56/~jnz1568/getInfo.php?workbook=10_02.xlsx&amp;sheet=A0&amp;row=777&amp;col=9&amp;number=&amp;sourceID=32","")</f>
        <v/>
      </c>
      <c r="J777" s="4" t="str">
        <f>HYPERLINK("http://141.218.60.56/~jnz1568/getInfo.php?workbook=10_02.xlsx&amp;sheet=A0&amp;row=777&amp;col=10&amp;number=&amp;sourceID=32","")</f>
        <v/>
      </c>
      <c r="K777" s="4" t="str">
        <f>HYPERLINK("http://141.218.60.56/~jnz1568/getInfo.php?workbook=10_02.xlsx&amp;sheet=A0&amp;row=777&amp;col=11&amp;number=123250&amp;sourceID=46","123250")</f>
        <v>123250</v>
      </c>
      <c r="L777" s="4" t="str">
        <f>HYPERLINK("http://141.218.60.56/~jnz1568/getInfo.php?workbook=10_02.xlsx&amp;sheet=A0&amp;row=777&amp;col=12&amp;number=&amp;sourceID=47","")</f>
        <v/>
      </c>
    </row>
    <row r="778" spans="1:12">
      <c r="A778" s="3">
        <v>10</v>
      </c>
      <c r="B778" s="3">
        <v>2</v>
      </c>
      <c r="C778" s="3">
        <v>44</v>
      </c>
      <c r="D778" s="3">
        <v>21</v>
      </c>
      <c r="E778" s="3">
        <f>((1/(INDEX(E0!J$4:J$52,C778,1)-INDEX(E0!J$4:J$52,D778,1))))*100000000</f>
        <v>0</v>
      </c>
      <c r="F778" s="4" t="str">
        <f>HYPERLINK("http://141.218.60.56/~jnz1568/getInfo.php?workbook=10_02.xlsx&amp;sheet=A0&amp;row=778&amp;col=6&amp;number=&amp;sourceID=27","")</f>
        <v/>
      </c>
      <c r="G778" s="4" t="str">
        <f>HYPERLINK("http://141.218.60.56/~jnz1568/getInfo.php?workbook=10_02.xlsx&amp;sheet=A0&amp;row=778&amp;col=7&amp;number=&amp;sourceID=32","")</f>
        <v/>
      </c>
      <c r="H778" s="4" t="str">
        <f>HYPERLINK("http://141.218.60.56/~jnz1568/getInfo.php?workbook=10_02.xlsx&amp;sheet=A0&amp;row=778&amp;col=8&amp;number=&amp;sourceID=32","")</f>
        <v/>
      </c>
      <c r="I778" s="4" t="str">
        <f>HYPERLINK("http://141.218.60.56/~jnz1568/getInfo.php?workbook=10_02.xlsx&amp;sheet=A0&amp;row=778&amp;col=9&amp;number=&amp;sourceID=32","")</f>
        <v/>
      </c>
      <c r="J778" s="4" t="str">
        <f>HYPERLINK("http://141.218.60.56/~jnz1568/getInfo.php?workbook=10_02.xlsx&amp;sheet=A0&amp;row=778&amp;col=10&amp;number=&amp;sourceID=32","")</f>
        <v/>
      </c>
      <c r="K778" s="4" t="str">
        <f>HYPERLINK("http://141.218.60.56/~jnz1568/getInfo.php?workbook=10_02.xlsx&amp;sheet=A0&amp;row=778&amp;col=11&amp;number=3.7799&amp;sourceID=46","3.7799")</f>
        <v>3.7799</v>
      </c>
      <c r="L778" s="4" t="str">
        <f>HYPERLINK("http://141.218.60.56/~jnz1568/getInfo.php?workbook=10_02.xlsx&amp;sheet=A0&amp;row=778&amp;col=12&amp;number=&amp;sourceID=47","")</f>
        <v/>
      </c>
    </row>
    <row r="779" spans="1:12">
      <c r="A779" s="3">
        <v>10</v>
      </c>
      <c r="B779" s="3">
        <v>2</v>
      </c>
      <c r="C779" s="3">
        <v>44</v>
      </c>
      <c r="D779" s="3">
        <v>22</v>
      </c>
      <c r="E779" s="3">
        <f>((1/(INDEX(E0!J$4:J$52,C779,1)-INDEX(E0!J$4:J$52,D779,1))))*100000000</f>
        <v>0</v>
      </c>
      <c r="F779" s="4" t="str">
        <f>HYPERLINK("http://141.218.60.56/~jnz1568/getInfo.php?workbook=10_02.xlsx&amp;sheet=A0&amp;row=779&amp;col=6&amp;number=&amp;sourceID=27","")</f>
        <v/>
      </c>
      <c r="G779" s="4" t="str">
        <f>HYPERLINK("http://141.218.60.56/~jnz1568/getInfo.php?workbook=10_02.xlsx&amp;sheet=A0&amp;row=779&amp;col=7&amp;number=&amp;sourceID=32","")</f>
        <v/>
      </c>
      <c r="H779" s="4" t="str">
        <f>HYPERLINK("http://141.218.60.56/~jnz1568/getInfo.php?workbook=10_02.xlsx&amp;sheet=A0&amp;row=779&amp;col=8&amp;number=69880&amp;sourceID=32","69880")</f>
        <v>69880</v>
      </c>
      <c r="I779" s="4" t="str">
        <f>HYPERLINK("http://141.218.60.56/~jnz1568/getInfo.php?workbook=10_02.xlsx&amp;sheet=A0&amp;row=779&amp;col=9&amp;number=1.757e-06&amp;sourceID=32","1.757e-06")</f>
        <v>1.757e-06</v>
      </c>
      <c r="J779" s="4" t="str">
        <f>HYPERLINK("http://141.218.60.56/~jnz1568/getInfo.php?workbook=10_02.xlsx&amp;sheet=A0&amp;row=779&amp;col=10&amp;number=&amp;sourceID=32","")</f>
        <v/>
      </c>
      <c r="K779" s="4" t="str">
        <f>HYPERLINK("http://141.218.60.56/~jnz1568/getInfo.php?workbook=10_02.xlsx&amp;sheet=A0&amp;row=779&amp;col=11&amp;number=65909&amp;sourceID=46","65909")</f>
        <v>65909</v>
      </c>
      <c r="L779" s="4" t="str">
        <f>HYPERLINK("http://141.218.60.56/~jnz1568/getInfo.php?workbook=10_02.xlsx&amp;sheet=A0&amp;row=779&amp;col=12&amp;number=&amp;sourceID=47","")</f>
        <v/>
      </c>
    </row>
    <row r="780" spans="1:12">
      <c r="A780" s="3">
        <v>10</v>
      </c>
      <c r="B780" s="3">
        <v>2</v>
      </c>
      <c r="C780" s="3">
        <v>44</v>
      </c>
      <c r="D780" s="3">
        <v>23</v>
      </c>
      <c r="E780" s="3">
        <f>((1/(INDEX(E0!J$4:J$52,C780,1)-INDEX(E0!J$4:J$52,D780,1))))*100000000</f>
        <v>0</v>
      </c>
      <c r="F780" s="4" t="str">
        <f>HYPERLINK("http://141.218.60.56/~jnz1568/getInfo.php?workbook=10_02.xlsx&amp;sheet=A0&amp;row=780&amp;col=6&amp;number=&amp;sourceID=27","")</f>
        <v/>
      </c>
      <c r="G780" s="4" t="str">
        <f>HYPERLINK("http://141.218.60.56/~jnz1568/getInfo.php?workbook=10_02.xlsx&amp;sheet=A0&amp;row=780&amp;col=7&amp;number=&amp;sourceID=32","")</f>
        <v/>
      </c>
      <c r="H780" s="4" t="str">
        <f>HYPERLINK("http://141.218.60.56/~jnz1568/getInfo.php?workbook=10_02.xlsx&amp;sheet=A0&amp;row=780&amp;col=8&amp;number=&amp;sourceID=32","")</f>
        <v/>
      </c>
      <c r="I780" s="4" t="str">
        <f>HYPERLINK("http://141.218.60.56/~jnz1568/getInfo.php?workbook=10_02.xlsx&amp;sheet=A0&amp;row=780&amp;col=9&amp;number=&amp;sourceID=32","")</f>
        <v/>
      </c>
      <c r="J780" s="4" t="str">
        <f>HYPERLINK("http://141.218.60.56/~jnz1568/getInfo.php?workbook=10_02.xlsx&amp;sheet=A0&amp;row=780&amp;col=10&amp;number=1.879&amp;sourceID=32","1.879")</f>
        <v>1.879</v>
      </c>
      <c r="K780" s="4" t="str">
        <f>HYPERLINK("http://141.218.60.56/~jnz1568/getInfo.php?workbook=10_02.xlsx&amp;sheet=A0&amp;row=780&amp;col=11&amp;number=2.387&amp;sourceID=46","2.387")</f>
        <v>2.387</v>
      </c>
      <c r="L780" s="4" t="str">
        <f>HYPERLINK("http://141.218.60.56/~jnz1568/getInfo.php?workbook=10_02.xlsx&amp;sheet=A0&amp;row=780&amp;col=12&amp;number=&amp;sourceID=47","")</f>
        <v/>
      </c>
    </row>
    <row r="781" spans="1:12">
      <c r="A781" s="3">
        <v>10</v>
      </c>
      <c r="B781" s="3">
        <v>2</v>
      </c>
      <c r="C781" s="3">
        <v>44</v>
      </c>
      <c r="D781" s="3">
        <v>24</v>
      </c>
      <c r="E781" s="3">
        <f>((1/(INDEX(E0!J$4:J$52,C781,1)-INDEX(E0!J$4:J$52,D781,1))))*100000000</f>
        <v>0</v>
      </c>
      <c r="F781" s="4" t="str">
        <f>HYPERLINK("http://141.218.60.56/~jnz1568/getInfo.php?workbook=10_02.xlsx&amp;sheet=A0&amp;row=781&amp;col=6&amp;number=&amp;sourceID=27","")</f>
        <v/>
      </c>
      <c r="G781" s="4" t="str">
        <f>HYPERLINK("http://141.218.60.56/~jnz1568/getInfo.php?workbook=10_02.xlsx&amp;sheet=A0&amp;row=781&amp;col=7&amp;number=3479000000&amp;sourceID=32","3479000000")</f>
        <v>3479000000</v>
      </c>
      <c r="H781" s="4" t="str">
        <f>HYPERLINK("http://141.218.60.56/~jnz1568/getInfo.php?workbook=10_02.xlsx&amp;sheet=A0&amp;row=781&amp;col=8&amp;number=&amp;sourceID=32","")</f>
        <v/>
      </c>
      <c r="I781" s="4" t="str">
        <f>HYPERLINK("http://141.218.60.56/~jnz1568/getInfo.php?workbook=10_02.xlsx&amp;sheet=A0&amp;row=781&amp;col=9&amp;number=&amp;sourceID=32","")</f>
        <v/>
      </c>
      <c r="J781" s="4" t="str">
        <f>HYPERLINK("http://141.218.60.56/~jnz1568/getInfo.php?workbook=10_02.xlsx&amp;sheet=A0&amp;row=781&amp;col=10&amp;number=4.835&amp;sourceID=32","4.835")</f>
        <v>4.835</v>
      </c>
      <c r="K781" s="4" t="str">
        <f>HYPERLINK("http://141.218.60.56/~jnz1568/getInfo.php?workbook=10_02.xlsx&amp;sheet=A0&amp;row=781&amp;col=11&amp;number=3642900000&amp;sourceID=46","3642900000")</f>
        <v>3642900000</v>
      </c>
      <c r="L781" s="4" t="str">
        <f>HYPERLINK("http://141.218.60.56/~jnz1568/getInfo.php?workbook=10_02.xlsx&amp;sheet=A0&amp;row=781&amp;col=12&amp;number=&amp;sourceID=47","")</f>
        <v/>
      </c>
    </row>
    <row r="782" spans="1:12">
      <c r="A782" s="3">
        <v>10</v>
      </c>
      <c r="B782" s="3">
        <v>2</v>
      </c>
      <c r="C782" s="3">
        <v>44</v>
      </c>
      <c r="D782" s="3">
        <v>25</v>
      </c>
      <c r="E782" s="3">
        <f>((1/(INDEX(E0!J$4:J$52,C782,1)-INDEX(E0!J$4:J$52,D782,1))))*100000000</f>
        <v>0</v>
      </c>
      <c r="F782" s="4" t="str">
        <f>HYPERLINK("http://141.218.60.56/~jnz1568/getInfo.php?workbook=10_02.xlsx&amp;sheet=A0&amp;row=782&amp;col=6&amp;number=&amp;sourceID=27","")</f>
        <v/>
      </c>
      <c r="G782" s="4" t="str">
        <f>HYPERLINK("http://141.218.60.56/~jnz1568/getInfo.php?workbook=10_02.xlsx&amp;sheet=A0&amp;row=782&amp;col=7&amp;number=740800000&amp;sourceID=32","740800000")</f>
        <v>740800000</v>
      </c>
      <c r="H782" s="4" t="str">
        <f>HYPERLINK("http://141.218.60.56/~jnz1568/getInfo.php?workbook=10_02.xlsx&amp;sheet=A0&amp;row=782&amp;col=8&amp;number=&amp;sourceID=32","")</f>
        <v/>
      </c>
      <c r="I782" s="4" t="str">
        <f>HYPERLINK("http://141.218.60.56/~jnz1568/getInfo.php?workbook=10_02.xlsx&amp;sheet=A0&amp;row=782&amp;col=9&amp;number=&amp;sourceID=32","")</f>
        <v/>
      </c>
      <c r="J782" s="4" t="str">
        <f>HYPERLINK("http://141.218.60.56/~jnz1568/getInfo.php?workbook=10_02.xlsx&amp;sheet=A0&amp;row=782&amp;col=10&amp;number=2.102&amp;sourceID=32","2.102")</f>
        <v>2.102</v>
      </c>
      <c r="K782" s="4" t="str">
        <f>HYPERLINK("http://141.218.60.56/~jnz1568/getInfo.php?workbook=10_02.xlsx&amp;sheet=A0&amp;row=782&amp;col=11&amp;number=697560000&amp;sourceID=46","697560000")</f>
        <v>697560000</v>
      </c>
      <c r="L782" s="4" t="str">
        <f>HYPERLINK("http://141.218.60.56/~jnz1568/getInfo.php?workbook=10_02.xlsx&amp;sheet=A0&amp;row=782&amp;col=12&amp;number=&amp;sourceID=47","")</f>
        <v/>
      </c>
    </row>
    <row r="783" spans="1:12">
      <c r="A783" s="3">
        <v>10</v>
      </c>
      <c r="B783" s="3">
        <v>2</v>
      </c>
      <c r="C783" s="3">
        <v>44</v>
      </c>
      <c r="D783" s="3">
        <v>26</v>
      </c>
      <c r="E783" s="3">
        <f>((1/(INDEX(E0!J$4:J$52,C783,1)-INDEX(E0!J$4:J$52,D783,1))))*100000000</f>
        <v>0</v>
      </c>
      <c r="F783" s="4" t="str">
        <f>HYPERLINK("http://141.218.60.56/~jnz1568/getInfo.php?workbook=10_02.xlsx&amp;sheet=A0&amp;row=783&amp;col=6&amp;number=&amp;sourceID=27","")</f>
        <v/>
      </c>
      <c r="G783" s="4" t="str">
        <f>HYPERLINK("http://141.218.60.56/~jnz1568/getInfo.php?workbook=10_02.xlsx&amp;sheet=A0&amp;row=783&amp;col=7&amp;number=&amp;sourceID=32","")</f>
        <v/>
      </c>
      <c r="H783" s="4" t="str">
        <f>HYPERLINK("http://141.218.60.56/~jnz1568/getInfo.php?workbook=10_02.xlsx&amp;sheet=A0&amp;row=783&amp;col=8&amp;number=1555&amp;sourceID=32","1555")</f>
        <v>1555</v>
      </c>
      <c r="I783" s="4" t="str">
        <f>HYPERLINK("http://141.218.60.56/~jnz1568/getInfo.php?workbook=10_02.xlsx&amp;sheet=A0&amp;row=783&amp;col=9&amp;number=0.0001011&amp;sourceID=32","0.0001011")</f>
        <v>0.0001011</v>
      </c>
      <c r="J783" s="4" t="str">
        <f>HYPERLINK("http://141.218.60.56/~jnz1568/getInfo.php?workbook=10_02.xlsx&amp;sheet=A0&amp;row=783&amp;col=10&amp;number=&amp;sourceID=32","")</f>
        <v/>
      </c>
      <c r="K783" s="4" t="str">
        <f>HYPERLINK("http://141.218.60.56/~jnz1568/getInfo.php?workbook=10_02.xlsx&amp;sheet=A0&amp;row=783&amp;col=11&amp;number=1722.9&amp;sourceID=46","1722.9")</f>
        <v>1722.9</v>
      </c>
      <c r="L783" s="4" t="str">
        <f>HYPERLINK("http://141.218.60.56/~jnz1568/getInfo.php?workbook=10_02.xlsx&amp;sheet=A0&amp;row=783&amp;col=12&amp;number=&amp;sourceID=47","")</f>
        <v/>
      </c>
    </row>
    <row r="784" spans="1:12">
      <c r="A784" s="3">
        <v>10</v>
      </c>
      <c r="B784" s="3">
        <v>2</v>
      </c>
      <c r="C784" s="3">
        <v>44</v>
      </c>
      <c r="D784" s="3">
        <v>27</v>
      </c>
      <c r="E784" s="3">
        <f>((1/(INDEX(E0!J$4:J$52,C784,1)-INDEX(E0!J$4:J$52,D784,1))))*100000000</f>
        <v>0</v>
      </c>
      <c r="F784" s="4" t="str">
        <f>HYPERLINK("http://141.218.60.56/~jnz1568/getInfo.php?workbook=10_02.xlsx&amp;sheet=A0&amp;row=784&amp;col=6&amp;number=&amp;sourceID=27","")</f>
        <v/>
      </c>
      <c r="G784" s="4" t="str">
        <f>HYPERLINK("http://141.218.60.56/~jnz1568/getInfo.php?workbook=10_02.xlsx&amp;sheet=A0&amp;row=784&amp;col=7&amp;number=&amp;sourceID=32","")</f>
        <v/>
      </c>
      <c r="H784" s="4" t="str">
        <f>HYPERLINK("http://141.218.60.56/~jnz1568/getInfo.php?workbook=10_02.xlsx&amp;sheet=A0&amp;row=784&amp;col=8&amp;number=6851&amp;sourceID=32","6851")</f>
        <v>6851</v>
      </c>
      <c r="I784" s="4" t="str">
        <f>HYPERLINK("http://141.218.60.56/~jnz1568/getInfo.php?workbook=10_02.xlsx&amp;sheet=A0&amp;row=784&amp;col=9&amp;number=0.0009851&amp;sourceID=32","0.0009851")</f>
        <v>0.0009851</v>
      </c>
      <c r="J784" s="4" t="str">
        <f>HYPERLINK("http://141.218.60.56/~jnz1568/getInfo.php?workbook=10_02.xlsx&amp;sheet=A0&amp;row=784&amp;col=10&amp;number=&amp;sourceID=32","")</f>
        <v/>
      </c>
      <c r="K784" s="4" t="str">
        <f>HYPERLINK("http://141.218.60.56/~jnz1568/getInfo.php?workbook=10_02.xlsx&amp;sheet=A0&amp;row=784&amp;col=11&amp;number=6451.5&amp;sourceID=46","6451.5")</f>
        <v>6451.5</v>
      </c>
      <c r="L784" s="4" t="str">
        <f>HYPERLINK("http://141.218.60.56/~jnz1568/getInfo.php?workbook=10_02.xlsx&amp;sheet=A0&amp;row=784&amp;col=12&amp;number=&amp;sourceID=47","")</f>
        <v/>
      </c>
    </row>
    <row r="785" spans="1:12">
      <c r="A785" s="3">
        <v>10</v>
      </c>
      <c r="B785" s="3">
        <v>2</v>
      </c>
      <c r="C785" s="3">
        <v>44</v>
      </c>
      <c r="D785" s="3">
        <v>28</v>
      </c>
      <c r="E785" s="3">
        <f>((1/(INDEX(E0!J$4:J$52,C785,1)-INDEX(E0!J$4:J$52,D785,1))))*100000000</f>
        <v>0</v>
      </c>
      <c r="F785" s="4" t="str">
        <f>HYPERLINK("http://141.218.60.56/~jnz1568/getInfo.php?workbook=10_02.xlsx&amp;sheet=A0&amp;row=785&amp;col=6&amp;number=&amp;sourceID=27","")</f>
        <v/>
      </c>
      <c r="G785" s="4" t="str">
        <f>HYPERLINK("http://141.218.60.56/~jnz1568/getInfo.php?workbook=10_02.xlsx&amp;sheet=A0&amp;row=785&amp;col=7&amp;number=&amp;sourceID=32","")</f>
        <v/>
      </c>
      <c r="H785" s="4" t="str">
        <f>HYPERLINK("http://141.218.60.56/~jnz1568/getInfo.php?workbook=10_02.xlsx&amp;sheet=A0&amp;row=785&amp;col=8&amp;number=&amp;sourceID=32","")</f>
        <v/>
      </c>
      <c r="I785" s="4" t="str">
        <f>HYPERLINK("http://141.218.60.56/~jnz1568/getInfo.php?workbook=10_02.xlsx&amp;sheet=A0&amp;row=785&amp;col=9&amp;number=&amp;sourceID=32","")</f>
        <v/>
      </c>
      <c r="J785" s="4" t="str">
        <f>HYPERLINK("http://141.218.60.56/~jnz1568/getInfo.php?workbook=10_02.xlsx&amp;sheet=A0&amp;row=785&amp;col=10&amp;number=&amp;sourceID=32","")</f>
        <v/>
      </c>
      <c r="K785" s="4" t="str">
        <f>HYPERLINK("http://141.218.60.56/~jnz1568/getInfo.php?workbook=10_02.xlsx&amp;sheet=A0&amp;row=785&amp;col=11&amp;number=6716.9&amp;sourceID=46","6716.9")</f>
        <v>6716.9</v>
      </c>
      <c r="L785" s="4" t="str">
        <f>HYPERLINK("http://141.218.60.56/~jnz1568/getInfo.php?workbook=10_02.xlsx&amp;sheet=A0&amp;row=785&amp;col=12&amp;number=&amp;sourceID=47","")</f>
        <v/>
      </c>
    </row>
    <row r="786" spans="1:12">
      <c r="A786" s="3">
        <v>10</v>
      </c>
      <c r="B786" s="3">
        <v>2</v>
      </c>
      <c r="C786" s="3">
        <v>44</v>
      </c>
      <c r="D786" s="3">
        <v>29</v>
      </c>
      <c r="E786" s="3">
        <f>((1/(INDEX(E0!J$4:J$52,C786,1)-INDEX(E0!J$4:J$52,D786,1))))*100000000</f>
        <v>0</v>
      </c>
      <c r="F786" s="4" t="str">
        <f>HYPERLINK("http://141.218.60.56/~jnz1568/getInfo.php?workbook=10_02.xlsx&amp;sheet=A0&amp;row=786&amp;col=6&amp;number=&amp;sourceID=27","")</f>
        <v/>
      </c>
      <c r="G786" s="4" t="str">
        <f>HYPERLINK("http://141.218.60.56/~jnz1568/getInfo.php?workbook=10_02.xlsx&amp;sheet=A0&amp;row=786&amp;col=7&amp;number=12750000000&amp;sourceID=32","12750000000")</f>
        <v>12750000000</v>
      </c>
      <c r="H786" s="4" t="str">
        <f>HYPERLINK("http://141.218.60.56/~jnz1568/getInfo.php?workbook=10_02.xlsx&amp;sheet=A0&amp;row=786&amp;col=8&amp;number=&amp;sourceID=32","")</f>
        <v/>
      </c>
      <c r="I786" s="4" t="str">
        <f>HYPERLINK("http://141.218.60.56/~jnz1568/getInfo.php?workbook=10_02.xlsx&amp;sheet=A0&amp;row=786&amp;col=9&amp;number=&amp;sourceID=32","")</f>
        <v/>
      </c>
      <c r="J786" s="4" t="str">
        <f>HYPERLINK("http://141.218.60.56/~jnz1568/getInfo.php?workbook=10_02.xlsx&amp;sheet=A0&amp;row=786&amp;col=10&amp;number=8.014&amp;sourceID=32","8.014")</f>
        <v>8.014</v>
      </c>
      <c r="K786" s="4" t="str">
        <f>HYPERLINK("http://141.218.60.56/~jnz1568/getInfo.php?workbook=10_02.xlsx&amp;sheet=A0&amp;row=786&amp;col=11&amp;number=12625000000&amp;sourceID=46","12625000000")</f>
        <v>12625000000</v>
      </c>
      <c r="L786" s="4" t="str">
        <f>HYPERLINK("http://141.218.60.56/~jnz1568/getInfo.php?workbook=10_02.xlsx&amp;sheet=A0&amp;row=786&amp;col=12&amp;number=&amp;sourceID=47","")</f>
        <v/>
      </c>
    </row>
    <row r="787" spans="1:12">
      <c r="A787" s="3">
        <v>10</v>
      </c>
      <c r="B787" s="3">
        <v>2</v>
      </c>
      <c r="C787" s="3">
        <v>44</v>
      </c>
      <c r="D787" s="3">
        <v>30</v>
      </c>
      <c r="E787" s="3">
        <f>((1/(INDEX(E0!J$4:J$52,C787,1)-INDEX(E0!J$4:J$52,D787,1))))*100000000</f>
        <v>0</v>
      </c>
      <c r="F787" s="4" t="str">
        <f>HYPERLINK("http://141.218.60.56/~jnz1568/getInfo.php?workbook=10_02.xlsx&amp;sheet=A0&amp;row=787&amp;col=6&amp;number=&amp;sourceID=27","")</f>
        <v/>
      </c>
      <c r="G787" s="4" t="str">
        <f>HYPERLINK("http://141.218.60.56/~jnz1568/getInfo.php?workbook=10_02.xlsx&amp;sheet=A0&amp;row=787&amp;col=7&amp;number=&amp;sourceID=32","")</f>
        <v/>
      </c>
      <c r="H787" s="4" t="str">
        <f>HYPERLINK("http://141.218.60.56/~jnz1568/getInfo.php?workbook=10_02.xlsx&amp;sheet=A0&amp;row=787&amp;col=8&amp;number=65750&amp;sourceID=32","65750")</f>
        <v>65750</v>
      </c>
      <c r="I787" s="4" t="str">
        <f>HYPERLINK("http://141.218.60.56/~jnz1568/getInfo.php?workbook=10_02.xlsx&amp;sheet=A0&amp;row=787&amp;col=9&amp;number=0.009761&amp;sourceID=32","0.009761")</f>
        <v>0.009761</v>
      </c>
      <c r="J787" s="4" t="str">
        <f>HYPERLINK("http://141.218.60.56/~jnz1568/getInfo.php?workbook=10_02.xlsx&amp;sheet=A0&amp;row=787&amp;col=10&amp;number=&amp;sourceID=32","")</f>
        <v/>
      </c>
      <c r="K787" s="4" t="str">
        <f>HYPERLINK("http://141.218.60.56/~jnz1568/getInfo.php?workbook=10_02.xlsx&amp;sheet=A0&amp;row=787&amp;col=11&amp;number=66406&amp;sourceID=46","66406")</f>
        <v>66406</v>
      </c>
      <c r="L787" s="4" t="str">
        <f>HYPERLINK("http://141.218.60.56/~jnz1568/getInfo.php?workbook=10_02.xlsx&amp;sheet=A0&amp;row=787&amp;col=12&amp;number=&amp;sourceID=47","")</f>
        <v/>
      </c>
    </row>
    <row r="788" spans="1:12">
      <c r="A788" s="3">
        <v>10</v>
      </c>
      <c r="B788" s="3">
        <v>2</v>
      </c>
      <c r="C788" s="3">
        <v>44</v>
      </c>
      <c r="D788" s="3">
        <v>31</v>
      </c>
      <c r="E788" s="3">
        <f>((1/(INDEX(E0!J$4:J$52,C788,1)-INDEX(E0!J$4:J$52,D788,1))))*100000000</f>
        <v>0</v>
      </c>
      <c r="F788" s="4" t="str">
        <f>HYPERLINK("http://141.218.60.56/~jnz1568/getInfo.php?workbook=10_02.xlsx&amp;sheet=A0&amp;row=788&amp;col=6&amp;number=&amp;sourceID=27","")</f>
        <v/>
      </c>
      <c r="G788" s="4" t="str">
        <f>HYPERLINK("http://141.218.60.56/~jnz1568/getInfo.php?workbook=10_02.xlsx&amp;sheet=A0&amp;row=788&amp;col=7&amp;number=&amp;sourceID=32","")</f>
        <v/>
      </c>
      <c r="H788" s="4" t="str">
        <f>HYPERLINK("http://141.218.60.56/~jnz1568/getInfo.php?workbook=10_02.xlsx&amp;sheet=A0&amp;row=788&amp;col=8&amp;number=307200&amp;sourceID=32","307200")</f>
        <v>307200</v>
      </c>
      <c r="I788" s="4" t="str">
        <f>HYPERLINK("http://141.218.60.56/~jnz1568/getInfo.php?workbook=10_02.xlsx&amp;sheet=A0&amp;row=788&amp;col=9&amp;number=&amp;sourceID=32","")</f>
        <v/>
      </c>
      <c r="J788" s="4" t="str">
        <f>HYPERLINK("http://141.218.60.56/~jnz1568/getInfo.php?workbook=10_02.xlsx&amp;sheet=A0&amp;row=788&amp;col=10&amp;number=&amp;sourceID=32","")</f>
        <v/>
      </c>
      <c r="K788" s="4" t="str">
        <f>HYPERLINK("http://141.218.60.56/~jnz1568/getInfo.php?workbook=10_02.xlsx&amp;sheet=A0&amp;row=788&amp;col=11&amp;number=314780&amp;sourceID=46","314780")</f>
        <v>314780</v>
      </c>
      <c r="L788" s="4" t="str">
        <f>HYPERLINK("http://141.218.60.56/~jnz1568/getInfo.php?workbook=10_02.xlsx&amp;sheet=A0&amp;row=788&amp;col=12&amp;number=&amp;sourceID=47","")</f>
        <v/>
      </c>
    </row>
    <row r="789" spans="1:12">
      <c r="A789" s="3">
        <v>10</v>
      </c>
      <c r="B789" s="3">
        <v>2</v>
      </c>
      <c r="C789" s="3">
        <v>44</v>
      </c>
      <c r="D789" s="3">
        <v>32</v>
      </c>
      <c r="E789" s="3">
        <f>((1/(INDEX(E0!J$4:J$52,C789,1)-INDEX(E0!J$4:J$52,D789,1))))*100000000</f>
        <v>0</v>
      </c>
      <c r="F789" s="4" t="str">
        <f>HYPERLINK("http://141.218.60.56/~jnz1568/getInfo.php?workbook=10_02.xlsx&amp;sheet=A0&amp;row=789&amp;col=6&amp;number=&amp;sourceID=27","")</f>
        <v/>
      </c>
      <c r="G789" s="4" t="str">
        <f>HYPERLINK("http://141.218.60.56/~jnz1568/getInfo.php?workbook=10_02.xlsx&amp;sheet=A0&amp;row=789&amp;col=7&amp;number=&amp;sourceID=32","")</f>
        <v/>
      </c>
      <c r="H789" s="4" t="str">
        <f>HYPERLINK("http://141.218.60.56/~jnz1568/getInfo.php?workbook=10_02.xlsx&amp;sheet=A0&amp;row=789&amp;col=8&amp;number=&amp;sourceID=32","")</f>
        <v/>
      </c>
      <c r="I789" s="4" t="str">
        <f>HYPERLINK("http://141.218.60.56/~jnz1568/getInfo.php?workbook=10_02.xlsx&amp;sheet=A0&amp;row=789&amp;col=9&amp;number=&amp;sourceID=32","")</f>
        <v/>
      </c>
      <c r="J789" s="4" t="str">
        <f>HYPERLINK("http://141.218.60.56/~jnz1568/getInfo.php?workbook=10_02.xlsx&amp;sheet=A0&amp;row=789&amp;col=10&amp;number=4.5e-14&amp;sourceID=32","4.5e-14")</f>
        <v>4.5e-14</v>
      </c>
      <c r="K789" s="4" t="str">
        <f>HYPERLINK("http://141.218.60.56/~jnz1568/getInfo.php?workbook=10_02.xlsx&amp;sheet=A0&amp;row=789&amp;col=11&amp;number=&amp;sourceID=46","")</f>
        <v/>
      </c>
      <c r="L789" s="4" t="str">
        <f>HYPERLINK("http://141.218.60.56/~jnz1568/getInfo.php?workbook=10_02.xlsx&amp;sheet=A0&amp;row=789&amp;col=12&amp;number=&amp;sourceID=47","")</f>
        <v/>
      </c>
    </row>
    <row r="790" spans="1:12">
      <c r="A790" s="3">
        <v>10</v>
      </c>
      <c r="B790" s="3">
        <v>2</v>
      </c>
      <c r="C790" s="3">
        <v>44</v>
      </c>
      <c r="D790" s="3">
        <v>35</v>
      </c>
      <c r="E790" s="3">
        <f>((1/(INDEX(E0!J$4:J$52,C790,1)-INDEX(E0!J$4:J$52,D790,1))))*100000000</f>
        <v>0</v>
      </c>
      <c r="F790" s="4" t="str">
        <f>HYPERLINK("http://141.218.60.56/~jnz1568/getInfo.php?workbook=10_02.xlsx&amp;sheet=A0&amp;row=790&amp;col=6&amp;number=&amp;sourceID=27","")</f>
        <v/>
      </c>
      <c r="G790" s="4" t="str">
        <f>HYPERLINK("http://141.218.60.56/~jnz1568/getInfo.php?workbook=10_02.xlsx&amp;sheet=A0&amp;row=790&amp;col=7&amp;number=&amp;sourceID=32","")</f>
        <v/>
      </c>
      <c r="H790" s="4" t="str">
        <f>HYPERLINK("http://141.218.60.56/~jnz1568/getInfo.php?workbook=10_02.xlsx&amp;sheet=A0&amp;row=790&amp;col=8&amp;number=0.0002093&amp;sourceID=32","0.0002093")</f>
        <v>0.0002093</v>
      </c>
      <c r="I790" s="4" t="str">
        <f>HYPERLINK("http://141.218.60.56/~jnz1568/getInfo.php?workbook=10_02.xlsx&amp;sheet=A0&amp;row=790&amp;col=9&amp;number=&amp;sourceID=32","")</f>
        <v/>
      </c>
      <c r="J790" s="4" t="str">
        <f>HYPERLINK("http://141.218.60.56/~jnz1568/getInfo.php?workbook=10_02.xlsx&amp;sheet=A0&amp;row=790&amp;col=10&amp;number=&amp;sourceID=32","")</f>
        <v/>
      </c>
      <c r="K790" s="4" t="str">
        <f>HYPERLINK("http://141.218.60.56/~jnz1568/getInfo.php?workbook=10_02.xlsx&amp;sheet=A0&amp;row=790&amp;col=11&amp;number=&amp;sourceID=46","")</f>
        <v/>
      </c>
      <c r="L790" s="4" t="str">
        <f>HYPERLINK("http://141.218.60.56/~jnz1568/getInfo.php?workbook=10_02.xlsx&amp;sheet=A0&amp;row=790&amp;col=12&amp;number=&amp;sourceID=47","")</f>
        <v/>
      </c>
    </row>
    <row r="791" spans="1:12">
      <c r="A791" s="3">
        <v>10</v>
      </c>
      <c r="B791" s="3">
        <v>2</v>
      </c>
      <c r="C791" s="3">
        <v>44</v>
      </c>
      <c r="D791" s="3">
        <v>36</v>
      </c>
      <c r="E791" s="3">
        <f>((1/(INDEX(E0!J$4:J$52,C791,1)-INDEX(E0!J$4:J$52,D791,1))))*100000000</f>
        <v>0</v>
      </c>
      <c r="F791" s="4" t="str">
        <f>HYPERLINK("http://141.218.60.56/~jnz1568/getInfo.php?workbook=10_02.xlsx&amp;sheet=A0&amp;row=791&amp;col=6&amp;number=&amp;sourceID=27","")</f>
        <v/>
      </c>
      <c r="G791" s="4" t="str">
        <f>HYPERLINK("http://141.218.60.56/~jnz1568/getInfo.php?workbook=10_02.xlsx&amp;sheet=A0&amp;row=791&amp;col=7&amp;number=&amp;sourceID=32","")</f>
        <v/>
      </c>
      <c r="H791" s="4" t="str">
        <f>HYPERLINK("http://141.218.60.56/~jnz1568/getInfo.php?workbook=10_02.xlsx&amp;sheet=A0&amp;row=791&amp;col=8&amp;number=9.315e-05&amp;sourceID=32","9.315e-05")</f>
        <v>9.315e-05</v>
      </c>
      <c r="I791" s="4" t="str">
        <f>HYPERLINK("http://141.218.60.56/~jnz1568/getInfo.php?workbook=10_02.xlsx&amp;sheet=A0&amp;row=791&amp;col=9&amp;number=8.175e-10&amp;sourceID=32","8.175e-10")</f>
        <v>8.175e-10</v>
      </c>
      <c r="J791" s="4" t="str">
        <f>HYPERLINK("http://141.218.60.56/~jnz1568/getInfo.php?workbook=10_02.xlsx&amp;sheet=A0&amp;row=791&amp;col=10&amp;number=&amp;sourceID=32","")</f>
        <v/>
      </c>
      <c r="K791" s="4" t="str">
        <f>HYPERLINK("http://141.218.60.56/~jnz1568/getInfo.php?workbook=10_02.xlsx&amp;sheet=A0&amp;row=791&amp;col=11&amp;number=&amp;sourceID=46","")</f>
        <v/>
      </c>
      <c r="L791" s="4" t="str">
        <f>HYPERLINK("http://141.218.60.56/~jnz1568/getInfo.php?workbook=10_02.xlsx&amp;sheet=A0&amp;row=791&amp;col=12&amp;number=&amp;sourceID=47","")</f>
        <v/>
      </c>
    </row>
    <row r="792" spans="1:12">
      <c r="A792" s="3">
        <v>10</v>
      </c>
      <c r="B792" s="3">
        <v>2</v>
      </c>
      <c r="C792" s="3">
        <v>44</v>
      </c>
      <c r="D792" s="3">
        <v>37</v>
      </c>
      <c r="E792" s="3">
        <f>((1/(INDEX(E0!J$4:J$52,C792,1)-INDEX(E0!J$4:J$52,D792,1))))*100000000</f>
        <v>0</v>
      </c>
      <c r="F792" s="4" t="str">
        <f>HYPERLINK("http://141.218.60.56/~jnz1568/getInfo.php?workbook=10_02.xlsx&amp;sheet=A0&amp;row=792&amp;col=6&amp;number=&amp;sourceID=27","")</f>
        <v/>
      </c>
      <c r="G792" s="4" t="str">
        <f>HYPERLINK("http://141.218.60.56/~jnz1568/getInfo.php?workbook=10_02.xlsx&amp;sheet=A0&amp;row=792&amp;col=7&amp;number=&amp;sourceID=32","")</f>
        <v/>
      </c>
      <c r="H792" s="4" t="str">
        <f>HYPERLINK("http://141.218.60.56/~jnz1568/getInfo.php?workbook=10_02.xlsx&amp;sheet=A0&amp;row=792&amp;col=8&amp;number=&amp;sourceID=32","")</f>
        <v/>
      </c>
      <c r="I792" s="4" t="str">
        <f>HYPERLINK("http://141.218.60.56/~jnz1568/getInfo.php?workbook=10_02.xlsx&amp;sheet=A0&amp;row=792&amp;col=9&amp;number=&amp;sourceID=32","")</f>
        <v/>
      </c>
      <c r="J792" s="4" t="str">
        <f>HYPERLINK("http://141.218.60.56/~jnz1568/getInfo.php?workbook=10_02.xlsx&amp;sheet=A0&amp;row=792&amp;col=10&amp;number=1.4e-14&amp;sourceID=32","1.4e-14")</f>
        <v>1.4e-14</v>
      </c>
      <c r="K792" s="4" t="str">
        <f>HYPERLINK("http://141.218.60.56/~jnz1568/getInfo.php?workbook=10_02.xlsx&amp;sheet=A0&amp;row=792&amp;col=11&amp;number=&amp;sourceID=46","")</f>
        <v/>
      </c>
      <c r="L792" s="4" t="str">
        <f>HYPERLINK("http://141.218.60.56/~jnz1568/getInfo.php?workbook=10_02.xlsx&amp;sheet=A0&amp;row=792&amp;col=12&amp;number=&amp;sourceID=47","")</f>
        <v/>
      </c>
    </row>
    <row r="793" spans="1:12">
      <c r="A793" s="3">
        <v>10</v>
      </c>
      <c r="B793" s="3">
        <v>2</v>
      </c>
      <c r="C793" s="3">
        <v>44</v>
      </c>
      <c r="D793" s="3">
        <v>38</v>
      </c>
      <c r="E793" s="3">
        <f>((1/(INDEX(E0!J$4:J$52,C793,1)-INDEX(E0!J$4:J$52,D793,1))))*100000000</f>
        <v>0</v>
      </c>
      <c r="F793" s="4" t="str">
        <f>HYPERLINK("http://141.218.60.56/~jnz1568/getInfo.php?workbook=10_02.xlsx&amp;sheet=A0&amp;row=793&amp;col=6&amp;number=&amp;sourceID=27","")</f>
        <v/>
      </c>
      <c r="G793" s="4" t="str">
        <f>HYPERLINK("http://141.218.60.56/~jnz1568/getInfo.php?workbook=10_02.xlsx&amp;sheet=A0&amp;row=793&amp;col=7&amp;number=20.77&amp;sourceID=32","20.77")</f>
        <v>20.77</v>
      </c>
      <c r="H793" s="4" t="str">
        <f>HYPERLINK("http://141.218.60.56/~jnz1568/getInfo.php?workbook=10_02.xlsx&amp;sheet=A0&amp;row=793&amp;col=8&amp;number=&amp;sourceID=32","")</f>
        <v/>
      </c>
      <c r="I793" s="4" t="str">
        <f>HYPERLINK("http://141.218.60.56/~jnz1568/getInfo.php?workbook=10_02.xlsx&amp;sheet=A0&amp;row=793&amp;col=9&amp;number=&amp;sourceID=32","")</f>
        <v/>
      </c>
      <c r="J793" s="4" t="str">
        <f>HYPERLINK("http://141.218.60.56/~jnz1568/getInfo.php?workbook=10_02.xlsx&amp;sheet=A0&amp;row=793&amp;col=10&amp;number=3.3e-14&amp;sourceID=32","3.3e-14")</f>
        <v>3.3e-14</v>
      </c>
      <c r="K793" s="4" t="str">
        <f>HYPERLINK("http://141.218.60.56/~jnz1568/getInfo.php?workbook=10_02.xlsx&amp;sheet=A0&amp;row=793&amp;col=11&amp;number=23.827&amp;sourceID=46","23.827")</f>
        <v>23.827</v>
      </c>
      <c r="L793" s="4" t="str">
        <f>HYPERLINK("http://141.218.60.56/~jnz1568/getInfo.php?workbook=10_02.xlsx&amp;sheet=A0&amp;row=793&amp;col=12&amp;number=&amp;sourceID=47","")</f>
        <v/>
      </c>
    </row>
    <row r="794" spans="1:12">
      <c r="A794" s="3">
        <v>10</v>
      </c>
      <c r="B794" s="3">
        <v>2</v>
      </c>
      <c r="C794" s="3">
        <v>44</v>
      </c>
      <c r="D794" s="3">
        <v>39</v>
      </c>
      <c r="E794" s="3">
        <f>((1/(INDEX(E0!J$4:J$52,C794,1)-INDEX(E0!J$4:J$52,D794,1))))*100000000</f>
        <v>0</v>
      </c>
      <c r="F794" s="4" t="str">
        <f>HYPERLINK("http://141.218.60.56/~jnz1568/getInfo.php?workbook=10_02.xlsx&amp;sheet=A0&amp;row=794&amp;col=6&amp;number=&amp;sourceID=27","")</f>
        <v/>
      </c>
      <c r="G794" s="4" t="str">
        <f>HYPERLINK("http://141.218.60.56/~jnz1568/getInfo.php?workbook=10_02.xlsx&amp;sheet=A0&amp;row=794&amp;col=7&amp;number=2.623&amp;sourceID=32","2.623")</f>
        <v>2.623</v>
      </c>
      <c r="H794" s="4" t="str">
        <f>HYPERLINK("http://141.218.60.56/~jnz1568/getInfo.php?workbook=10_02.xlsx&amp;sheet=A0&amp;row=794&amp;col=8&amp;number=&amp;sourceID=32","")</f>
        <v/>
      </c>
      <c r="I794" s="4" t="str">
        <f>HYPERLINK("http://141.218.60.56/~jnz1568/getInfo.php?workbook=10_02.xlsx&amp;sheet=A0&amp;row=794&amp;col=9&amp;number=&amp;sourceID=32","")</f>
        <v/>
      </c>
      <c r="J794" s="4" t="str">
        <f>HYPERLINK("http://141.218.60.56/~jnz1568/getInfo.php?workbook=10_02.xlsx&amp;sheet=A0&amp;row=794&amp;col=10&amp;number=6e-15&amp;sourceID=32","6e-15")</f>
        <v>6e-15</v>
      </c>
      <c r="K794" s="4" t="str">
        <f>HYPERLINK("http://141.218.60.56/~jnz1568/getInfo.php?workbook=10_02.xlsx&amp;sheet=A0&amp;row=794&amp;col=11&amp;number=2.8143&amp;sourceID=46","2.8143")</f>
        <v>2.8143</v>
      </c>
      <c r="L794" s="4" t="str">
        <f>HYPERLINK("http://141.218.60.56/~jnz1568/getInfo.php?workbook=10_02.xlsx&amp;sheet=A0&amp;row=794&amp;col=12&amp;number=&amp;sourceID=47","")</f>
        <v/>
      </c>
    </row>
    <row r="795" spans="1:12">
      <c r="A795" s="3">
        <v>10</v>
      </c>
      <c r="B795" s="3">
        <v>2</v>
      </c>
      <c r="C795" s="3">
        <v>45</v>
      </c>
      <c r="D795" s="3">
        <v>4</v>
      </c>
      <c r="E795" s="3"/>
      <c r="F795" s="4" t="str">
        <f>HYPERLINK("http://141.218.60.56/~jnz1568/getInfo.php?workbook=10_02.xlsx&amp;sheet=A0&amp;row=795&amp;col=6&amp;number=&amp;sourceID=27","")</f>
        <v/>
      </c>
      <c r="G795" s="4" t="str">
        <f>HYPERLINK("http://141.218.60.56/~jnz1568/getInfo.php?workbook=10_02.xlsx&amp;sheet=A0&amp;row=795&amp;col=7&amp;number=&amp;sourceID=32","")</f>
        <v/>
      </c>
      <c r="H795" s="4" t="str">
        <f>HYPERLINK("http://141.218.60.56/~jnz1568/getInfo.php?workbook=10_02.xlsx&amp;sheet=A0&amp;row=795&amp;col=8&amp;number=&amp;sourceID=32","")</f>
        <v/>
      </c>
      <c r="I795" s="4" t="str">
        <f>HYPERLINK("http://141.218.60.56/~jnz1568/getInfo.php?workbook=10_02.xlsx&amp;sheet=A0&amp;row=795&amp;col=9&amp;number=&amp;sourceID=32","")</f>
        <v/>
      </c>
      <c r="J795" s="4" t="str">
        <f>HYPERLINK("http://141.218.60.56/~jnz1568/getInfo.php?workbook=10_02.xlsx&amp;sheet=A0&amp;row=795&amp;col=10&amp;number=&amp;sourceID=32","")</f>
        <v/>
      </c>
      <c r="K795" s="4" t="str">
        <f>HYPERLINK("http://141.218.60.56/~jnz1568/getInfo.php?workbook=10_02.xlsx&amp;sheet=A0&amp;row=795&amp;col=11&amp;number=497.84&amp;sourceID=46","497.84")</f>
        <v>497.84</v>
      </c>
      <c r="L795" s="4" t="str">
        <f>HYPERLINK("http://141.218.60.56/~jnz1568/getInfo.php?workbook=10_02.xlsx&amp;sheet=A0&amp;row=795&amp;col=12&amp;number=&amp;sourceID=47","")</f>
        <v/>
      </c>
    </row>
    <row r="796" spans="1:12">
      <c r="A796" s="3">
        <v>10</v>
      </c>
      <c r="B796" s="3">
        <v>2</v>
      </c>
      <c r="C796" s="3">
        <v>45</v>
      </c>
      <c r="D796" s="3">
        <v>5</v>
      </c>
      <c r="E796" s="3"/>
      <c r="F796" s="4" t="str">
        <f>HYPERLINK("http://141.218.60.56/~jnz1568/getInfo.php?workbook=10_02.xlsx&amp;sheet=A0&amp;row=796&amp;col=6&amp;number=&amp;sourceID=27","")</f>
        <v/>
      </c>
      <c r="G796" s="4" t="str">
        <f>HYPERLINK("http://141.218.60.56/~jnz1568/getInfo.php?workbook=10_02.xlsx&amp;sheet=A0&amp;row=796&amp;col=7&amp;number=&amp;sourceID=32","")</f>
        <v/>
      </c>
      <c r="H796" s="4" t="str">
        <f>HYPERLINK("http://141.218.60.56/~jnz1568/getInfo.php?workbook=10_02.xlsx&amp;sheet=A0&amp;row=796&amp;col=8&amp;number=&amp;sourceID=32","")</f>
        <v/>
      </c>
      <c r="I796" s="4" t="str">
        <f>HYPERLINK("http://141.218.60.56/~jnz1568/getInfo.php?workbook=10_02.xlsx&amp;sheet=A0&amp;row=796&amp;col=9&amp;number=&amp;sourceID=32","")</f>
        <v/>
      </c>
      <c r="J796" s="4" t="str">
        <f>HYPERLINK("http://141.218.60.56/~jnz1568/getInfo.php?workbook=10_02.xlsx&amp;sheet=A0&amp;row=796&amp;col=10&amp;number=&amp;sourceID=32","")</f>
        <v/>
      </c>
      <c r="K796" s="4" t="str">
        <f>HYPERLINK("http://141.218.60.56/~jnz1568/getInfo.php?workbook=10_02.xlsx&amp;sheet=A0&amp;row=796&amp;col=11&amp;number=280.59&amp;sourceID=46","280.59")</f>
        <v>280.59</v>
      </c>
      <c r="L796" s="4" t="str">
        <f>HYPERLINK("http://141.218.60.56/~jnz1568/getInfo.php?workbook=10_02.xlsx&amp;sheet=A0&amp;row=796&amp;col=12&amp;number=&amp;sourceID=47","")</f>
        <v/>
      </c>
    </row>
    <row r="797" spans="1:12">
      <c r="A797" s="3">
        <v>10</v>
      </c>
      <c r="B797" s="3">
        <v>2</v>
      </c>
      <c r="C797" s="3">
        <v>45</v>
      </c>
      <c r="D797" s="3">
        <v>7</v>
      </c>
      <c r="E797" s="3"/>
      <c r="F797" s="4" t="str">
        <f>HYPERLINK("http://141.218.60.56/~jnz1568/getInfo.php?workbook=10_02.xlsx&amp;sheet=A0&amp;row=797&amp;col=6&amp;number=&amp;sourceID=27","")</f>
        <v/>
      </c>
      <c r="G797" s="4" t="str">
        <f>HYPERLINK("http://141.218.60.56/~jnz1568/getInfo.php?workbook=10_02.xlsx&amp;sheet=A0&amp;row=797&amp;col=7&amp;number=&amp;sourceID=32","")</f>
        <v/>
      </c>
      <c r="H797" s="4" t="str">
        <f>HYPERLINK("http://141.218.60.56/~jnz1568/getInfo.php?workbook=10_02.xlsx&amp;sheet=A0&amp;row=797&amp;col=8&amp;number=&amp;sourceID=32","")</f>
        <v/>
      </c>
      <c r="I797" s="4" t="str">
        <f>HYPERLINK("http://141.218.60.56/~jnz1568/getInfo.php?workbook=10_02.xlsx&amp;sheet=A0&amp;row=797&amp;col=9&amp;number=&amp;sourceID=32","")</f>
        <v/>
      </c>
      <c r="J797" s="4" t="str">
        <f>HYPERLINK("http://141.218.60.56/~jnz1568/getInfo.php?workbook=10_02.xlsx&amp;sheet=A0&amp;row=797&amp;col=10&amp;number=&amp;sourceID=32","")</f>
        <v/>
      </c>
      <c r="K797" s="4" t="str">
        <f>HYPERLINK("http://141.218.60.56/~jnz1568/getInfo.php?workbook=10_02.xlsx&amp;sheet=A0&amp;row=797&amp;col=11&amp;number=676.29&amp;sourceID=46","676.29")</f>
        <v>676.29</v>
      </c>
      <c r="L797" s="4" t="str">
        <f>HYPERLINK("http://141.218.60.56/~jnz1568/getInfo.php?workbook=10_02.xlsx&amp;sheet=A0&amp;row=797&amp;col=12&amp;number=&amp;sourceID=47","")</f>
        <v/>
      </c>
    </row>
    <row r="798" spans="1:12">
      <c r="A798" s="3">
        <v>10</v>
      </c>
      <c r="B798" s="3">
        <v>2</v>
      </c>
      <c r="C798" s="3">
        <v>45</v>
      </c>
      <c r="D798" s="3">
        <v>10</v>
      </c>
      <c r="E798" s="3"/>
      <c r="F798" s="4" t="str">
        <f>HYPERLINK("http://141.218.60.56/~jnz1568/getInfo.php?workbook=10_02.xlsx&amp;sheet=A0&amp;row=798&amp;col=6&amp;number=&amp;sourceID=27","")</f>
        <v/>
      </c>
      <c r="G798" s="4" t="str">
        <f>HYPERLINK("http://141.218.60.56/~jnz1568/getInfo.php?workbook=10_02.xlsx&amp;sheet=A0&amp;row=798&amp;col=7&amp;number=&amp;sourceID=32","")</f>
        <v/>
      </c>
      <c r="H798" s="4" t="str">
        <f>HYPERLINK("http://141.218.60.56/~jnz1568/getInfo.php?workbook=10_02.xlsx&amp;sheet=A0&amp;row=798&amp;col=8&amp;number=&amp;sourceID=32","")</f>
        <v/>
      </c>
      <c r="I798" s="4" t="str">
        <f>HYPERLINK("http://141.218.60.56/~jnz1568/getInfo.php?workbook=10_02.xlsx&amp;sheet=A0&amp;row=798&amp;col=9&amp;number=&amp;sourceID=32","")</f>
        <v/>
      </c>
      <c r="J798" s="4" t="str">
        <f>HYPERLINK("http://141.218.60.56/~jnz1568/getInfo.php?workbook=10_02.xlsx&amp;sheet=A0&amp;row=798&amp;col=10&amp;number=&amp;sourceID=32","")</f>
        <v/>
      </c>
      <c r="K798" s="4" t="str">
        <f>HYPERLINK("http://141.218.60.56/~jnz1568/getInfo.php?workbook=10_02.xlsx&amp;sheet=A0&amp;row=798&amp;col=11&amp;number=226.65&amp;sourceID=46","226.65")</f>
        <v>226.65</v>
      </c>
      <c r="L798" s="4" t="str">
        <f>HYPERLINK("http://141.218.60.56/~jnz1568/getInfo.php?workbook=10_02.xlsx&amp;sheet=A0&amp;row=798&amp;col=12&amp;number=&amp;sourceID=47","")</f>
        <v/>
      </c>
    </row>
    <row r="799" spans="1:12">
      <c r="A799" s="3">
        <v>10</v>
      </c>
      <c r="B799" s="3">
        <v>2</v>
      </c>
      <c r="C799" s="3">
        <v>45</v>
      </c>
      <c r="D799" s="3">
        <v>12</v>
      </c>
      <c r="E799" s="3"/>
      <c r="F799" s="4" t="str">
        <f>HYPERLINK("http://141.218.60.56/~jnz1568/getInfo.php?workbook=10_02.xlsx&amp;sheet=A0&amp;row=799&amp;col=6&amp;number=&amp;sourceID=27","")</f>
        <v/>
      </c>
      <c r="G799" s="4" t="str">
        <f>HYPERLINK("http://141.218.60.56/~jnz1568/getInfo.php?workbook=10_02.xlsx&amp;sheet=A0&amp;row=799&amp;col=7&amp;number=&amp;sourceID=32","")</f>
        <v/>
      </c>
      <c r="H799" s="4" t="str">
        <f>HYPERLINK("http://141.218.60.56/~jnz1568/getInfo.php?workbook=10_02.xlsx&amp;sheet=A0&amp;row=799&amp;col=8&amp;number=&amp;sourceID=32","")</f>
        <v/>
      </c>
      <c r="I799" s="4" t="str">
        <f>HYPERLINK("http://141.218.60.56/~jnz1568/getInfo.php?workbook=10_02.xlsx&amp;sheet=A0&amp;row=799&amp;col=9&amp;number=&amp;sourceID=32","")</f>
        <v/>
      </c>
      <c r="J799" s="4" t="str">
        <f>HYPERLINK("http://141.218.60.56/~jnz1568/getInfo.php?workbook=10_02.xlsx&amp;sheet=A0&amp;row=799&amp;col=10&amp;number=&amp;sourceID=32","")</f>
        <v/>
      </c>
      <c r="K799" s="4" t="str">
        <f>HYPERLINK("http://141.218.60.56/~jnz1568/getInfo.php?workbook=10_02.xlsx&amp;sheet=A0&amp;row=799&amp;col=11&amp;number=129.31&amp;sourceID=46","129.31")</f>
        <v>129.31</v>
      </c>
      <c r="L799" s="4" t="str">
        <f>HYPERLINK("http://141.218.60.56/~jnz1568/getInfo.php?workbook=10_02.xlsx&amp;sheet=A0&amp;row=799&amp;col=12&amp;number=&amp;sourceID=47","")</f>
        <v/>
      </c>
    </row>
    <row r="800" spans="1:12">
      <c r="A800" s="3">
        <v>10</v>
      </c>
      <c r="B800" s="3">
        <v>2</v>
      </c>
      <c r="C800" s="3">
        <v>45</v>
      </c>
      <c r="D800" s="3">
        <v>14</v>
      </c>
      <c r="E800" s="3"/>
      <c r="F800" s="4" t="str">
        <f>HYPERLINK("http://141.218.60.56/~jnz1568/getInfo.php?workbook=10_02.xlsx&amp;sheet=A0&amp;row=800&amp;col=6&amp;number=&amp;sourceID=27","")</f>
        <v/>
      </c>
      <c r="G800" s="4" t="str">
        <f>HYPERLINK("http://141.218.60.56/~jnz1568/getInfo.php?workbook=10_02.xlsx&amp;sheet=A0&amp;row=800&amp;col=7&amp;number=&amp;sourceID=32","")</f>
        <v/>
      </c>
      <c r="H800" s="4" t="str">
        <f>HYPERLINK("http://141.218.60.56/~jnz1568/getInfo.php?workbook=10_02.xlsx&amp;sheet=A0&amp;row=800&amp;col=8&amp;number=&amp;sourceID=32","")</f>
        <v/>
      </c>
      <c r="I800" s="4" t="str">
        <f>HYPERLINK("http://141.218.60.56/~jnz1568/getInfo.php?workbook=10_02.xlsx&amp;sheet=A0&amp;row=800&amp;col=9&amp;number=&amp;sourceID=32","")</f>
        <v/>
      </c>
      <c r="J800" s="4" t="str">
        <f>HYPERLINK("http://141.218.60.56/~jnz1568/getInfo.php?workbook=10_02.xlsx&amp;sheet=A0&amp;row=800&amp;col=10&amp;number=&amp;sourceID=32","")</f>
        <v/>
      </c>
      <c r="K800" s="4" t="str">
        <f>HYPERLINK("http://141.218.60.56/~jnz1568/getInfo.php?workbook=10_02.xlsx&amp;sheet=A0&amp;row=800&amp;col=11&amp;number=3689400&amp;sourceID=46","3689400")</f>
        <v>3689400</v>
      </c>
      <c r="L800" s="4" t="str">
        <f>HYPERLINK("http://141.218.60.56/~jnz1568/getInfo.php?workbook=10_02.xlsx&amp;sheet=A0&amp;row=800&amp;col=12&amp;number=&amp;sourceID=47","")</f>
        <v/>
      </c>
    </row>
    <row r="801" spans="1:12">
      <c r="A801" s="3">
        <v>10</v>
      </c>
      <c r="B801" s="3">
        <v>2</v>
      </c>
      <c r="C801" s="3">
        <v>45</v>
      </c>
      <c r="D801" s="3">
        <v>15</v>
      </c>
      <c r="E801" s="3"/>
      <c r="F801" s="4" t="str">
        <f>HYPERLINK("http://141.218.60.56/~jnz1568/getInfo.php?workbook=10_02.xlsx&amp;sheet=A0&amp;row=801&amp;col=6&amp;number=&amp;sourceID=27","")</f>
        <v/>
      </c>
      <c r="G801" s="4" t="str">
        <f>HYPERLINK("http://141.218.60.56/~jnz1568/getInfo.php?workbook=10_02.xlsx&amp;sheet=A0&amp;row=801&amp;col=7&amp;number=&amp;sourceID=32","")</f>
        <v/>
      </c>
      <c r="H801" s="4" t="str">
        <f>HYPERLINK("http://141.218.60.56/~jnz1568/getInfo.php?workbook=10_02.xlsx&amp;sheet=A0&amp;row=801&amp;col=8&amp;number=&amp;sourceID=32","")</f>
        <v/>
      </c>
      <c r="I801" s="4" t="str">
        <f>HYPERLINK("http://141.218.60.56/~jnz1568/getInfo.php?workbook=10_02.xlsx&amp;sheet=A0&amp;row=801&amp;col=9&amp;number=&amp;sourceID=32","")</f>
        <v/>
      </c>
      <c r="J801" s="4" t="str">
        <f>HYPERLINK("http://141.218.60.56/~jnz1568/getInfo.php?workbook=10_02.xlsx&amp;sheet=A0&amp;row=801&amp;col=10&amp;number=&amp;sourceID=32","")</f>
        <v/>
      </c>
      <c r="K801" s="4" t="str">
        <f>HYPERLINK("http://141.218.60.56/~jnz1568/getInfo.php?workbook=10_02.xlsx&amp;sheet=A0&amp;row=801&amp;col=11&amp;number=554450&amp;sourceID=46","554450")</f>
        <v>554450</v>
      </c>
      <c r="L801" s="4" t="str">
        <f>HYPERLINK("http://141.218.60.56/~jnz1568/getInfo.php?workbook=10_02.xlsx&amp;sheet=A0&amp;row=801&amp;col=12&amp;number=&amp;sourceID=47","")</f>
        <v/>
      </c>
    </row>
    <row r="802" spans="1:12">
      <c r="A802" s="3">
        <v>10</v>
      </c>
      <c r="B802" s="3">
        <v>2</v>
      </c>
      <c r="C802" s="3">
        <v>45</v>
      </c>
      <c r="D802" s="3">
        <v>16</v>
      </c>
      <c r="E802" s="3"/>
      <c r="F802" s="4" t="str">
        <f>HYPERLINK("http://141.218.60.56/~jnz1568/getInfo.php?workbook=10_02.xlsx&amp;sheet=A0&amp;row=802&amp;col=6&amp;number=&amp;sourceID=27","")</f>
        <v/>
      </c>
      <c r="G802" s="4" t="str">
        <f>HYPERLINK("http://141.218.60.56/~jnz1568/getInfo.php?workbook=10_02.xlsx&amp;sheet=A0&amp;row=802&amp;col=7&amp;number=&amp;sourceID=32","")</f>
        <v/>
      </c>
      <c r="H802" s="4" t="str">
        <f>HYPERLINK("http://141.218.60.56/~jnz1568/getInfo.php?workbook=10_02.xlsx&amp;sheet=A0&amp;row=802&amp;col=8&amp;number=&amp;sourceID=32","")</f>
        <v/>
      </c>
      <c r="I802" s="4" t="str">
        <f>HYPERLINK("http://141.218.60.56/~jnz1568/getInfo.php?workbook=10_02.xlsx&amp;sheet=A0&amp;row=802&amp;col=9&amp;number=&amp;sourceID=32","")</f>
        <v/>
      </c>
      <c r="J802" s="4" t="str">
        <f>HYPERLINK("http://141.218.60.56/~jnz1568/getInfo.php?workbook=10_02.xlsx&amp;sheet=A0&amp;row=802&amp;col=10&amp;number=&amp;sourceID=32","")</f>
        <v/>
      </c>
      <c r="K802" s="4" t="str">
        <f>HYPERLINK("http://141.218.60.56/~jnz1568/getInfo.php?workbook=10_02.xlsx&amp;sheet=A0&amp;row=802&amp;col=11&amp;number=1928600&amp;sourceID=46","1928600")</f>
        <v>1928600</v>
      </c>
      <c r="L802" s="4" t="str">
        <f>HYPERLINK("http://141.218.60.56/~jnz1568/getInfo.php?workbook=10_02.xlsx&amp;sheet=A0&amp;row=802&amp;col=12&amp;number=&amp;sourceID=47","")</f>
        <v/>
      </c>
    </row>
    <row r="803" spans="1:12">
      <c r="A803" s="3">
        <v>10</v>
      </c>
      <c r="B803" s="3">
        <v>2</v>
      </c>
      <c r="C803" s="3">
        <v>45</v>
      </c>
      <c r="D803" s="3">
        <v>17</v>
      </c>
      <c r="E803" s="3"/>
      <c r="F803" s="4" t="str">
        <f>HYPERLINK("http://141.218.60.56/~jnz1568/getInfo.php?workbook=10_02.xlsx&amp;sheet=A0&amp;row=803&amp;col=6&amp;number=&amp;sourceID=27","")</f>
        <v/>
      </c>
      <c r="G803" s="4" t="str">
        <f>HYPERLINK("http://141.218.60.56/~jnz1568/getInfo.php?workbook=10_02.xlsx&amp;sheet=A0&amp;row=803&amp;col=7&amp;number=&amp;sourceID=32","")</f>
        <v/>
      </c>
      <c r="H803" s="4" t="str">
        <f>HYPERLINK("http://141.218.60.56/~jnz1568/getInfo.php?workbook=10_02.xlsx&amp;sheet=A0&amp;row=803&amp;col=8&amp;number=&amp;sourceID=32","")</f>
        <v/>
      </c>
      <c r="I803" s="4" t="str">
        <f>HYPERLINK("http://141.218.60.56/~jnz1568/getInfo.php?workbook=10_02.xlsx&amp;sheet=A0&amp;row=803&amp;col=9&amp;number=&amp;sourceID=32","")</f>
        <v/>
      </c>
      <c r="J803" s="4" t="str">
        <f>HYPERLINK("http://141.218.60.56/~jnz1568/getInfo.php?workbook=10_02.xlsx&amp;sheet=A0&amp;row=803&amp;col=10&amp;number=&amp;sourceID=32","")</f>
        <v/>
      </c>
      <c r="K803" s="4" t="str">
        <f>HYPERLINK("http://141.218.60.56/~jnz1568/getInfo.php?workbook=10_02.xlsx&amp;sheet=A0&amp;row=803&amp;col=11&amp;number=265.48&amp;sourceID=46","265.48")</f>
        <v>265.48</v>
      </c>
      <c r="L803" s="4" t="str">
        <f>HYPERLINK("http://141.218.60.56/~jnz1568/getInfo.php?workbook=10_02.xlsx&amp;sheet=A0&amp;row=803&amp;col=12&amp;number=&amp;sourceID=47","")</f>
        <v/>
      </c>
    </row>
    <row r="804" spans="1:12">
      <c r="A804" s="3">
        <v>10</v>
      </c>
      <c r="B804" s="3">
        <v>2</v>
      </c>
      <c r="C804" s="3">
        <v>45</v>
      </c>
      <c r="D804" s="3">
        <v>20</v>
      </c>
      <c r="E804" s="3"/>
      <c r="F804" s="4" t="str">
        <f>HYPERLINK("http://141.218.60.56/~jnz1568/getInfo.php?workbook=10_02.xlsx&amp;sheet=A0&amp;row=804&amp;col=6&amp;number=&amp;sourceID=27","")</f>
        <v/>
      </c>
      <c r="G804" s="4" t="str">
        <f>HYPERLINK("http://141.218.60.56/~jnz1568/getInfo.php?workbook=10_02.xlsx&amp;sheet=A0&amp;row=804&amp;col=7&amp;number=&amp;sourceID=32","")</f>
        <v/>
      </c>
      <c r="H804" s="4" t="str">
        <f>HYPERLINK("http://141.218.60.56/~jnz1568/getInfo.php?workbook=10_02.xlsx&amp;sheet=A0&amp;row=804&amp;col=8&amp;number=&amp;sourceID=32","")</f>
        <v/>
      </c>
      <c r="I804" s="4" t="str">
        <f>HYPERLINK("http://141.218.60.56/~jnz1568/getInfo.php?workbook=10_02.xlsx&amp;sheet=A0&amp;row=804&amp;col=9&amp;number=&amp;sourceID=32","")</f>
        <v/>
      </c>
      <c r="J804" s="4" t="str">
        <f>HYPERLINK("http://141.218.60.56/~jnz1568/getInfo.php?workbook=10_02.xlsx&amp;sheet=A0&amp;row=804&amp;col=10&amp;number=&amp;sourceID=32","")</f>
        <v/>
      </c>
      <c r="K804" s="4" t="str">
        <f>HYPERLINK("http://141.218.60.56/~jnz1568/getInfo.php?workbook=10_02.xlsx&amp;sheet=A0&amp;row=804&amp;col=11&amp;number=2.3054&amp;sourceID=46","2.3054")</f>
        <v>2.3054</v>
      </c>
      <c r="L804" s="4" t="str">
        <f>HYPERLINK("http://141.218.60.56/~jnz1568/getInfo.php?workbook=10_02.xlsx&amp;sheet=A0&amp;row=804&amp;col=12&amp;number=&amp;sourceID=47","")</f>
        <v/>
      </c>
    </row>
    <row r="805" spans="1:12">
      <c r="A805" s="3">
        <v>10</v>
      </c>
      <c r="B805" s="3">
        <v>2</v>
      </c>
      <c r="C805" s="3">
        <v>45</v>
      </c>
      <c r="D805" s="3">
        <v>21</v>
      </c>
      <c r="E805" s="3"/>
      <c r="F805" s="4" t="str">
        <f>HYPERLINK("http://141.218.60.56/~jnz1568/getInfo.php?workbook=10_02.xlsx&amp;sheet=A0&amp;row=805&amp;col=6&amp;number=&amp;sourceID=27","")</f>
        <v/>
      </c>
      <c r="G805" s="4" t="str">
        <f>HYPERLINK("http://141.218.60.56/~jnz1568/getInfo.php?workbook=10_02.xlsx&amp;sheet=A0&amp;row=805&amp;col=7&amp;number=&amp;sourceID=32","")</f>
        <v/>
      </c>
      <c r="H805" s="4" t="str">
        <f>HYPERLINK("http://141.218.60.56/~jnz1568/getInfo.php?workbook=10_02.xlsx&amp;sheet=A0&amp;row=805&amp;col=8&amp;number=&amp;sourceID=32","")</f>
        <v/>
      </c>
      <c r="I805" s="4" t="str">
        <f>HYPERLINK("http://141.218.60.56/~jnz1568/getInfo.php?workbook=10_02.xlsx&amp;sheet=A0&amp;row=805&amp;col=9&amp;number=&amp;sourceID=32","")</f>
        <v/>
      </c>
      <c r="J805" s="4" t="str">
        <f>HYPERLINK("http://141.218.60.56/~jnz1568/getInfo.php?workbook=10_02.xlsx&amp;sheet=A0&amp;row=805&amp;col=10&amp;number=&amp;sourceID=32","")</f>
        <v/>
      </c>
      <c r="K805" s="4" t="str">
        <f>HYPERLINK("http://141.218.60.56/~jnz1568/getInfo.php?workbook=10_02.xlsx&amp;sheet=A0&amp;row=805&amp;col=11&amp;number=1.3093&amp;sourceID=46","1.3093")</f>
        <v>1.3093</v>
      </c>
      <c r="L805" s="4" t="str">
        <f>HYPERLINK("http://141.218.60.56/~jnz1568/getInfo.php?workbook=10_02.xlsx&amp;sheet=A0&amp;row=805&amp;col=12&amp;number=&amp;sourceID=47","")</f>
        <v/>
      </c>
    </row>
    <row r="806" spans="1:12">
      <c r="A806" s="3">
        <v>10</v>
      </c>
      <c r="B806" s="3">
        <v>2</v>
      </c>
      <c r="C806" s="3">
        <v>45</v>
      </c>
      <c r="D806" s="3">
        <v>24</v>
      </c>
      <c r="E806" s="3"/>
      <c r="F806" s="4" t="str">
        <f>HYPERLINK("http://141.218.60.56/~jnz1568/getInfo.php?workbook=10_02.xlsx&amp;sheet=A0&amp;row=806&amp;col=6&amp;number=&amp;sourceID=27","")</f>
        <v/>
      </c>
      <c r="G806" s="4" t="str">
        <f>HYPERLINK("http://141.218.60.56/~jnz1568/getInfo.php?workbook=10_02.xlsx&amp;sheet=A0&amp;row=806&amp;col=7&amp;number=&amp;sourceID=32","")</f>
        <v/>
      </c>
      <c r="H806" s="4" t="str">
        <f>HYPERLINK("http://141.218.60.56/~jnz1568/getInfo.php?workbook=10_02.xlsx&amp;sheet=A0&amp;row=806&amp;col=8&amp;number=&amp;sourceID=32","")</f>
        <v/>
      </c>
      <c r="I806" s="4" t="str">
        <f>HYPERLINK("http://141.218.60.56/~jnz1568/getInfo.php?workbook=10_02.xlsx&amp;sheet=A0&amp;row=806&amp;col=9&amp;number=&amp;sourceID=32","")</f>
        <v/>
      </c>
      <c r="J806" s="4" t="str">
        <f>HYPERLINK("http://141.218.60.56/~jnz1568/getInfo.php?workbook=10_02.xlsx&amp;sheet=A0&amp;row=806&amp;col=10&amp;number=&amp;sourceID=32","")</f>
        <v/>
      </c>
      <c r="K806" s="4" t="str">
        <f>HYPERLINK("http://141.218.60.56/~jnz1568/getInfo.php?workbook=10_02.xlsx&amp;sheet=A0&amp;row=806&amp;col=11&amp;number=304280&amp;sourceID=46","304280")</f>
        <v>304280</v>
      </c>
      <c r="L806" s="4" t="str">
        <f>HYPERLINK("http://141.218.60.56/~jnz1568/getInfo.php?workbook=10_02.xlsx&amp;sheet=A0&amp;row=806&amp;col=12&amp;number=&amp;sourceID=47","")</f>
        <v/>
      </c>
    </row>
    <row r="807" spans="1:12">
      <c r="A807" s="3">
        <v>10</v>
      </c>
      <c r="B807" s="3">
        <v>2</v>
      </c>
      <c r="C807" s="3">
        <v>45</v>
      </c>
      <c r="D807" s="3">
        <v>25</v>
      </c>
      <c r="E807" s="3"/>
      <c r="F807" s="4" t="str">
        <f>HYPERLINK("http://141.218.60.56/~jnz1568/getInfo.php?workbook=10_02.xlsx&amp;sheet=A0&amp;row=807&amp;col=6&amp;number=&amp;sourceID=27","")</f>
        <v/>
      </c>
      <c r="G807" s="4" t="str">
        <f>HYPERLINK("http://141.218.60.56/~jnz1568/getInfo.php?workbook=10_02.xlsx&amp;sheet=A0&amp;row=807&amp;col=7&amp;number=&amp;sourceID=32","")</f>
        <v/>
      </c>
      <c r="H807" s="4" t="str">
        <f>HYPERLINK("http://141.218.60.56/~jnz1568/getInfo.php?workbook=10_02.xlsx&amp;sheet=A0&amp;row=807&amp;col=8&amp;number=&amp;sourceID=32","")</f>
        <v/>
      </c>
      <c r="I807" s="4" t="str">
        <f>HYPERLINK("http://141.218.60.56/~jnz1568/getInfo.php?workbook=10_02.xlsx&amp;sheet=A0&amp;row=807&amp;col=9&amp;number=&amp;sourceID=32","")</f>
        <v/>
      </c>
      <c r="J807" s="4" t="str">
        <f>HYPERLINK("http://141.218.60.56/~jnz1568/getInfo.php?workbook=10_02.xlsx&amp;sheet=A0&amp;row=807&amp;col=10&amp;number=&amp;sourceID=32","")</f>
        <v/>
      </c>
      <c r="K807" s="4" t="str">
        <f>HYPERLINK("http://141.218.60.56/~jnz1568/getInfo.php?workbook=10_02.xlsx&amp;sheet=A0&amp;row=807&amp;col=11&amp;number=48002&amp;sourceID=46","48002")</f>
        <v>48002</v>
      </c>
      <c r="L807" s="4" t="str">
        <f>HYPERLINK("http://141.218.60.56/~jnz1568/getInfo.php?workbook=10_02.xlsx&amp;sheet=A0&amp;row=807&amp;col=12&amp;number=&amp;sourceID=47","")</f>
        <v/>
      </c>
    </row>
    <row r="808" spans="1:12">
      <c r="A808" s="3">
        <v>10</v>
      </c>
      <c r="B808" s="3">
        <v>2</v>
      </c>
      <c r="C808" s="3">
        <v>45</v>
      </c>
      <c r="D808" s="3">
        <v>27</v>
      </c>
      <c r="E808" s="3"/>
      <c r="F808" s="4" t="str">
        <f>HYPERLINK("http://141.218.60.56/~jnz1568/getInfo.php?workbook=10_02.xlsx&amp;sheet=A0&amp;row=808&amp;col=6&amp;number=&amp;sourceID=27","")</f>
        <v/>
      </c>
      <c r="G808" s="4" t="str">
        <f>HYPERLINK("http://141.218.60.56/~jnz1568/getInfo.php?workbook=10_02.xlsx&amp;sheet=A0&amp;row=808&amp;col=7&amp;number=&amp;sourceID=32","")</f>
        <v/>
      </c>
      <c r="H808" s="4" t="str">
        <f>HYPERLINK("http://141.218.60.56/~jnz1568/getInfo.php?workbook=10_02.xlsx&amp;sheet=A0&amp;row=808&amp;col=8&amp;number=&amp;sourceID=32","")</f>
        <v/>
      </c>
      <c r="I808" s="4" t="str">
        <f>HYPERLINK("http://141.218.60.56/~jnz1568/getInfo.php?workbook=10_02.xlsx&amp;sheet=A0&amp;row=808&amp;col=9&amp;number=&amp;sourceID=32","")</f>
        <v/>
      </c>
      <c r="J808" s="4" t="str">
        <f>HYPERLINK("http://141.218.60.56/~jnz1568/getInfo.php?workbook=10_02.xlsx&amp;sheet=A0&amp;row=808&amp;col=10&amp;number=&amp;sourceID=32","")</f>
        <v/>
      </c>
      <c r="K808" s="4" t="str">
        <f>HYPERLINK("http://141.218.60.56/~jnz1568/getInfo.php?workbook=10_02.xlsx&amp;sheet=A0&amp;row=808&amp;col=11&amp;number=26817000000&amp;sourceID=46","26817000000")</f>
        <v>26817000000</v>
      </c>
      <c r="L808" s="4" t="str">
        <f>HYPERLINK("http://141.218.60.56/~jnz1568/getInfo.php?workbook=10_02.xlsx&amp;sheet=A0&amp;row=808&amp;col=12&amp;number=&amp;sourceID=47","")</f>
        <v/>
      </c>
    </row>
    <row r="809" spans="1:12">
      <c r="A809" s="3">
        <v>10</v>
      </c>
      <c r="B809" s="3">
        <v>2</v>
      </c>
      <c r="C809" s="3">
        <v>45</v>
      </c>
      <c r="D809" s="3">
        <v>28</v>
      </c>
      <c r="E809" s="3"/>
      <c r="F809" s="4" t="str">
        <f>HYPERLINK("http://141.218.60.56/~jnz1568/getInfo.php?workbook=10_02.xlsx&amp;sheet=A0&amp;row=809&amp;col=6&amp;number=&amp;sourceID=27","")</f>
        <v/>
      </c>
      <c r="G809" s="4" t="str">
        <f>HYPERLINK("http://141.218.60.56/~jnz1568/getInfo.php?workbook=10_02.xlsx&amp;sheet=A0&amp;row=809&amp;col=7&amp;number=&amp;sourceID=32","")</f>
        <v/>
      </c>
      <c r="H809" s="4" t="str">
        <f>HYPERLINK("http://141.218.60.56/~jnz1568/getInfo.php?workbook=10_02.xlsx&amp;sheet=A0&amp;row=809&amp;col=8&amp;number=&amp;sourceID=32","")</f>
        <v/>
      </c>
      <c r="I809" s="4" t="str">
        <f>HYPERLINK("http://141.218.60.56/~jnz1568/getInfo.php?workbook=10_02.xlsx&amp;sheet=A0&amp;row=809&amp;col=9&amp;number=&amp;sourceID=32","")</f>
        <v/>
      </c>
      <c r="J809" s="4" t="str">
        <f>HYPERLINK("http://141.218.60.56/~jnz1568/getInfo.php?workbook=10_02.xlsx&amp;sheet=A0&amp;row=809&amp;col=10&amp;number=&amp;sourceID=32","")</f>
        <v/>
      </c>
      <c r="K809" s="4" t="str">
        <f>HYPERLINK("http://141.218.60.56/~jnz1568/getInfo.php?workbook=10_02.xlsx&amp;sheet=A0&amp;row=809&amp;col=11&amp;number=940750000&amp;sourceID=46","940750000")</f>
        <v>940750000</v>
      </c>
      <c r="L809" s="4" t="str">
        <f>HYPERLINK("http://141.218.60.56/~jnz1568/getInfo.php?workbook=10_02.xlsx&amp;sheet=A0&amp;row=809&amp;col=12&amp;number=&amp;sourceID=47","")</f>
        <v/>
      </c>
    </row>
    <row r="810" spans="1:12">
      <c r="A810" s="3">
        <v>10</v>
      </c>
      <c r="B810" s="3">
        <v>2</v>
      </c>
      <c r="C810" s="3">
        <v>45</v>
      </c>
      <c r="D810" s="3">
        <v>29</v>
      </c>
      <c r="E810" s="3"/>
      <c r="F810" s="4" t="str">
        <f>HYPERLINK("http://141.218.60.56/~jnz1568/getInfo.php?workbook=10_02.xlsx&amp;sheet=A0&amp;row=810&amp;col=6&amp;number=&amp;sourceID=27","")</f>
        <v/>
      </c>
      <c r="G810" s="4" t="str">
        <f>HYPERLINK("http://141.218.60.56/~jnz1568/getInfo.php?workbook=10_02.xlsx&amp;sheet=A0&amp;row=810&amp;col=7&amp;number=&amp;sourceID=32","")</f>
        <v/>
      </c>
      <c r="H810" s="4" t="str">
        <f>HYPERLINK("http://141.218.60.56/~jnz1568/getInfo.php?workbook=10_02.xlsx&amp;sheet=A0&amp;row=810&amp;col=8&amp;number=&amp;sourceID=32","")</f>
        <v/>
      </c>
      <c r="I810" s="4" t="str">
        <f>HYPERLINK("http://141.218.60.56/~jnz1568/getInfo.php?workbook=10_02.xlsx&amp;sheet=A0&amp;row=810&amp;col=9&amp;number=&amp;sourceID=32","")</f>
        <v/>
      </c>
      <c r="J810" s="4" t="str">
        <f>HYPERLINK("http://141.218.60.56/~jnz1568/getInfo.php?workbook=10_02.xlsx&amp;sheet=A0&amp;row=810&amp;col=10&amp;number=&amp;sourceID=32","")</f>
        <v/>
      </c>
      <c r="K810" s="4" t="str">
        <f>HYPERLINK("http://141.218.60.56/~jnz1568/getInfo.php?workbook=10_02.xlsx&amp;sheet=A0&amp;row=810&amp;col=11&amp;number=181080&amp;sourceID=46","181080")</f>
        <v>181080</v>
      </c>
      <c r="L810" s="4" t="str">
        <f>HYPERLINK("http://141.218.60.56/~jnz1568/getInfo.php?workbook=10_02.xlsx&amp;sheet=A0&amp;row=810&amp;col=12&amp;number=&amp;sourceID=47","")</f>
        <v/>
      </c>
    </row>
    <row r="811" spans="1:12">
      <c r="A811" s="3">
        <v>10</v>
      </c>
      <c r="B811" s="3">
        <v>2</v>
      </c>
      <c r="C811" s="3">
        <v>45</v>
      </c>
      <c r="D811" s="3">
        <v>30</v>
      </c>
      <c r="E811" s="3"/>
      <c r="F811" s="4" t="str">
        <f>HYPERLINK("http://141.218.60.56/~jnz1568/getInfo.php?workbook=10_02.xlsx&amp;sheet=A0&amp;row=811&amp;col=6&amp;number=&amp;sourceID=27","")</f>
        <v/>
      </c>
      <c r="G811" s="4" t="str">
        <f>HYPERLINK("http://141.218.60.56/~jnz1568/getInfo.php?workbook=10_02.xlsx&amp;sheet=A0&amp;row=811&amp;col=7&amp;number=&amp;sourceID=32","")</f>
        <v/>
      </c>
      <c r="H811" s="4" t="str">
        <f>HYPERLINK("http://141.218.60.56/~jnz1568/getInfo.php?workbook=10_02.xlsx&amp;sheet=A0&amp;row=811&amp;col=8&amp;number=&amp;sourceID=32","")</f>
        <v/>
      </c>
      <c r="I811" s="4" t="str">
        <f>HYPERLINK("http://141.218.60.56/~jnz1568/getInfo.php?workbook=10_02.xlsx&amp;sheet=A0&amp;row=811&amp;col=9&amp;number=&amp;sourceID=32","")</f>
        <v/>
      </c>
      <c r="J811" s="4" t="str">
        <f>HYPERLINK("http://141.218.60.56/~jnz1568/getInfo.php?workbook=10_02.xlsx&amp;sheet=A0&amp;row=811&amp;col=10&amp;number=&amp;sourceID=32","")</f>
        <v/>
      </c>
      <c r="K811" s="4" t="str">
        <f>HYPERLINK("http://141.218.60.56/~jnz1568/getInfo.php?workbook=10_02.xlsx&amp;sheet=A0&amp;row=811&amp;col=11&amp;number=176360000&amp;sourceID=46","176360000")</f>
        <v>176360000</v>
      </c>
      <c r="L811" s="4" t="str">
        <f>HYPERLINK("http://141.218.60.56/~jnz1568/getInfo.php?workbook=10_02.xlsx&amp;sheet=A0&amp;row=811&amp;col=12&amp;number=&amp;sourceID=47","")</f>
        <v/>
      </c>
    </row>
    <row r="812" spans="1:12">
      <c r="A812" s="3">
        <v>10</v>
      </c>
      <c r="B812" s="3">
        <v>2</v>
      </c>
      <c r="C812" s="3">
        <v>45</v>
      </c>
      <c r="D812" s="3">
        <v>31</v>
      </c>
      <c r="E812" s="3"/>
      <c r="F812" s="4" t="str">
        <f>HYPERLINK("http://141.218.60.56/~jnz1568/getInfo.php?workbook=10_02.xlsx&amp;sheet=A0&amp;row=812&amp;col=6&amp;number=&amp;sourceID=27","")</f>
        <v/>
      </c>
      <c r="G812" s="4" t="str">
        <f>HYPERLINK("http://141.218.60.56/~jnz1568/getInfo.php?workbook=10_02.xlsx&amp;sheet=A0&amp;row=812&amp;col=7&amp;number=&amp;sourceID=32","")</f>
        <v/>
      </c>
      <c r="H812" s="4" t="str">
        <f>HYPERLINK("http://141.218.60.56/~jnz1568/getInfo.php?workbook=10_02.xlsx&amp;sheet=A0&amp;row=812&amp;col=8&amp;number=&amp;sourceID=32","")</f>
        <v/>
      </c>
      <c r="I812" s="4" t="str">
        <f>HYPERLINK("http://141.218.60.56/~jnz1568/getInfo.php?workbook=10_02.xlsx&amp;sheet=A0&amp;row=812&amp;col=9&amp;number=&amp;sourceID=32","")</f>
        <v/>
      </c>
      <c r="J812" s="4" t="str">
        <f>HYPERLINK("http://141.218.60.56/~jnz1568/getInfo.php?workbook=10_02.xlsx&amp;sheet=A0&amp;row=812&amp;col=10&amp;number=&amp;sourceID=32","")</f>
        <v/>
      </c>
      <c r="K812" s="4" t="str">
        <f>HYPERLINK("http://141.218.60.56/~jnz1568/getInfo.php?workbook=10_02.xlsx&amp;sheet=A0&amp;row=812&amp;col=11&amp;number=2.3787&amp;sourceID=46","2.3787")</f>
        <v>2.3787</v>
      </c>
      <c r="L812" s="4" t="str">
        <f>HYPERLINK("http://141.218.60.56/~jnz1568/getInfo.php?workbook=10_02.xlsx&amp;sheet=A0&amp;row=812&amp;col=12&amp;number=&amp;sourceID=47","")</f>
        <v/>
      </c>
    </row>
    <row r="813" spans="1:12">
      <c r="A813" s="3">
        <v>10</v>
      </c>
      <c r="B813" s="3">
        <v>2</v>
      </c>
      <c r="C813" s="3">
        <v>46</v>
      </c>
      <c r="D813" s="3">
        <v>2</v>
      </c>
      <c r="E813" s="3"/>
      <c r="F813" s="4" t="str">
        <f>HYPERLINK("http://141.218.60.56/~jnz1568/getInfo.php?workbook=10_02.xlsx&amp;sheet=A0&amp;row=813&amp;col=6&amp;number=&amp;sourceID=27","")</f>
        <v/>
      </c>
      <c r="G813" s="4" t="str">
        <f>HYPERLINK("http://141.218.60.56/~jnz1568/getInfo.php?workbook=10_02.xlsx&amp;sheet=A0&amp;row=813&amp;col=7&amp;number=&amp;sourceID=32","")</f>
        <v/>
      </c>
      <c r="H813" s="4" t="str">
        <f>HYPERLINK("http://141.218.60.56/~jnz1568/getInfo.php?workbook=10_02.xlsx&amp;sheet=A0&amp;row=813&amp;col=8&amp;number=0.004896&amp;sourceID=32","0.004896")</f>
        <v>0.004896</v>
      </c>
      <c r="I813" s="4" t="str">
        <f>HYPERLINK("http://141.218.60.56/~jnz1568/getInfo.php?workbook=10_02.xlsx&amp;sheet=A0&amp;row=813&amp;col=9&amp;number=&amp;sourceID=32","")</f>
        <v/>
      </c>
      <c r="J813" s="4" t="str">
        <f>HYPERLINK("http://141.218.60.56/~jnz1568/getInfo.php?workbook=10_02.xlsx&amp;sheet=A0&amp;row=813&amp;col=10&amp;number=&amp;sourceID=32","")</f>
        <v/>
      </c>
      <c r="K813" s="4" t="str">
        <f>HYPERLINK("http://141.218.60.56/~jnz1568/getInfo.php?workbook=10_02.xlsx&amp;sheet=A0&amp;row=813&amp;col=11&amp;number=&amp;sourceID=46","")</f>
        <v/>
      </c>
      <c r="L813" s="4" t="str">
        <f>HYPERLINK("http://141.218.60.56/~jnz1568/getInfo.php?workbook=10_02.xlsx&amp;sheet=A0&amp;row=813&amp;col=12&amp;number=&amp;sourceID=47","")</f>
        <v/>
      </c>
    </row>
    <row r="814" spans="1:12">
      <c r="A814" s="3">
        <v>10</v>
      </c>
      <c r="B814" s="3">
        <v>2</v>
      </c>
      <c r="C814" s="3">
        <v>46</v>
      </c>
      <c r="D814" s="3">
        <v>3</v>
      </c>
      <c r="E814" s="3"/>
      <c r="F814" s="4" t="str">
        <f>HYPERLINK("http://141.218.60.56/~jnz1568/getInfo.php?workbook=10_02.xlsx&amp;sheet=A0&amp;row=814&amp;col=6&amp;number=&amp;sourceID=27","")</f>
        <v/>
      </c>
      <c r="G814" s="4" t="str">
        <f>HYPERLINK("http://141.218.60.56/~jnz1568/getInfo.php?workbook=10_02.xlsx&amp;sheet=A0&amp;row=814&amp;col=7&amp;number=&amp;sourceID=32","")</f>
        <v/>
      </c>
      <c r="H814" s="4" t="str">
        <f>HYPERLINK("http://141.218.60.56/~jnz1568/getInfo.php?workbook=10_02.xlsx&amp;sheet=A0&amp;row=814&amp;col=8&amp;number=&amp;sourceID=32","")</f>
        <v/>
      </c>
      <c r="I814" s="4" t="str">
        <f>HYPERLINK("http://141.218.60.56/~jnz1568/getInfo.php?workbook=10_02.xlsx&amp;sheet=A0&amp;row=814&amp;col=9&amp;number=&amp;sourceID=32","")</f>
        <v/>
      </c>
      <c r="J814" s="4" t="str">
        <f>HYPERLINK("http://141.218.60.56/~jnz1568/getInfo.php?workbook=10_02.xlsx&amp;sheet=A0&amp;row=814&amp;col=10&amp;number=&amp;sourceID=32","")</f>
        <v/>
      </c>
      <c r="K814" s="4" t="str">
        <f>HYPERLINK("http://141.218.60.56/~jnz1568/getInfo.php?workbook=10_02.xlsx&amp;sheet=A0&amp;row=814&amp;col=11&amp;number=601.9&amp;sourceID=46","601.9")</f>
        <v>601.9</v>
      </c>
      <c r="L814" s="4" t="str">
        <f>HYPERLINK("http://141.218.60.56/~jnz1568/getInfo.php?workbook=10_02.xlsx&amp;sheet=A0&amp;row=814&amp;col=12&amp;number=&amp;sourceID=47","")</f>
        <v/>
      </c>
    </row>
    <row r="815" spans="1:12">
      <c r="A815" s="3">
        <v>10</v>
      </c>
      <c r="B815" s="3">
        <v>2</v>
      </c>
      <c r="C815" s="3">
        <v>46</v>
      </c>
      <c r="D815" s="3">
        <v>4</v>
      </c>
      <c r="E815" s="3"/>
      <c r="F815" s="4" t="str">
        <f>HYPERLINK("http://141.218.60.56/~jnz1568/getInfo.php?workbook=10_02.xlsx&amp;sheet=A0&amp;row=815&amp;col=6&amp;number=&amp;sourceID=27","")</f>
        <v/>
      </c>
      <c r="G815" s="4" t="str">
        <f>HYPERLINK("http://141.218.60.56/~jnz1568/getInfo.php?workbook=10_02.xlsx&amp;sheet=A0&amp;row=815&amp;col=7&amp;number=&amp;sourceID=32","")</f>
        <v/>
      </c>
      <c r="H815" s="4" t="str">
        <f>HYPERLINK("http://141.218.60.56/~jnz1568/getInfo.php?workbook=10_02.xlsx&amp;sheet=A0&amp;row=815&amp;col=8&amp;number=&amp;sourceID=32","")</f>
        <v/>
      </c>
      <c r="I815" s="4" t="str">
        <f>HYPERLINK("http://141.218.60.56/~jnz1568/getInfo.php?workbook=10_02.xlsx&amp;sheet=A0&amp;row=815&amp;col=9&amp;number=&amp;sourceID=32","")</f>
        <v/>
      </c>
      <c r="J815" s="4" t="str">
        <f>HYPERLINK("http://141.218.60.56/~jnz1568/getInfo.php?workbook=10_02.xlsx&amp;sheet=A0&amp;row=815&amp;col=10&amp;number=1.056e-06&amp;sourceID=32","1.056e-06")</f>
        <v>1.056e-06</v>
      </c>
      <c r="K815" s="4" t="str">
        <f>HYPERLINK("http://141.218.60.56/~jnz1568/getInfo.php?workbook=10_02.xlsx&amp;sheet=A0&amp;row=815&amp;col=11&amp;number=673.97&amp;sourceID=46","673.97")</f>
        <v>673.97</v>
      </c>
      <c r="L815" s="4" t="str">
        <f>HYPERLINK("http://141.218.60.56/~jnz1568/getInfo.php?workbook=10_02.xlsx&amp;sheet=A0&amp;row=815&amp;col=12&amp;number=&amp;sourceID=47","")</f>
        <v/>
      </c>
    </row>
    <row r="816" spans="1:12">
      <c r="A816" s="3">
        <v>10</v>
      </c>
      <c r="B816" s="3">
        <v>2</v>
      </c>
      <c r="C816" s="3">
        <v>46</v>
      </c>
      <c r="D816" s="3">
        <v>5</v>
      </c>
      <c r="E816" s="3"/>
      <c r="F816" s="4" t="str">
        <f>HYPERLINK("http://141.218.60.56/~jnz1568/getInfo.php?workbook=10_02.xlsx&amp;sheet=A0&amp;row=816&amp;col=6&amp;number=&amp;sourceID=27","")</f>
        <v/>
      </c>
      <c r="G816" s="4" t="str">
        <f>HYPERLINK("http://141.218.60.56/~jnz1568/getInfo.php?workbook=10_02.xlsx&amp;sheet=A0&amp;row=816&amp;col=7&amp;number=13.4&amp;sourceID=32","13.4")</f>
        <v>13.4</v>
      </c>
      <c r="H816" s="4" t="str">
        <f>HYPERLINK("http://141.218.60.56/~jnz1568/getInfo.php?workbook=10_02.xlsx&amp;sheet=A0&amp;row=816&amp;col=8&amp;number=&amp;sourceID=32","")</f>
        <v/>
      </c>
      <c r="I816" s="4" t="str">
        <f>HYPERLINK("http://141.218.60.56/~jnz1568/getInfo.php?workbook=10_02.xlsx&amp;sheet=A0&amp;row=816&amp;col=9&amp;number=&amp;sourceID=32","")</f>
        <v/>
      </c>
      <c r="J816" s="4" t="str">
        <f>HYPERLINK("http://141.218.60.56/~jnz1568/getInfo.php?workbook=10_02.xlsx&amp;sheet=A0&amp;row=816&amp;col=10&amp;number=1.861e-08&amp;sourceID=32","1.861e-08")</f>
        <v>1.861e-08</v>
      </c>
      <c r="K816" s="4" t="str">
        <f>HYPERLINK("http://141.218.60.56/~jnz1568/getInfo.php?workbook=10_02.xlsx&amp;sheet=A0&amp;row=816&amp;col=11&amp;number=7378.4&amp;sourceID=46","7378.4")</f>
        <v>7378.4</v>
      </c>
      <c r="L816" s="4" t="str">
        <f>HYPERLINK("http://141.218.60.56/~jnz1568/getInfo.php?workbook=10_02.xlsx&amp;sheet=A0&amp;row=816&amp;col=12&amp;number=&amp;sourceID=47","")</f>
        <v/>
      </c>
    </row>
    <row r="817" spans="1:12">
      <c r="A817" s="3">
        <v>10</v>
      </c>
      <c r="B817" s="3">
        <v>2</v>
      </c>
      <c r="C817" s="3">
        <v>46</v>
      </c>
      <c r="D817" s="3">
        <v>7</v>
      </c>
      <c r="E817" s="3"/>
      <c r="F817" s="4" t="str">
        <f>HYPERLINK("http://141.218.60.56/~jnz1568/getInfo.php?workbook=10_02.xlsx&amp;sheet=A0&amp;row=817&amp;col=6&amp;number=&amp;sourceID=27","")</f>
        <v/>
      </c>
      <c r="G817" s="4" t="str">
        <f>HYPERLINK("http://141.218.60.56/~jnz1568/getInfo.php?workbook=10_02.xlsx&amp;sheet=A0&amp;row=817&amp;col=7&amp;number=&amp;sourceID=32","")</f>
        <v/>
      </c>
      <c r="H817" s="4" t="str">
        <f>HYPERLINK("http://141.218.60.56/~jnz1568/getInfo.php?workbook=10_02.xlsx&amp;sheet=A0&amp;row=817&amp;col=8&amp;number=&amp;sourceID=32","")</f>
        <v/>
      </c>
      <c r="I817" s="4" t="str">
        <f>HYPERLINK("http://141.218.60.56/~jnz1568/getInfo.php?workbook=10_02.xlsx&amp;sheet=A0&amp;row=817&amp;col=9&amp;number=&amp;sourceID=32","")</f>
        <v/>
      </c>
      <c r="J817" s="4" t="str">
        <f>HYPERLINK("http://141.218.60.56/~jnz1568/getInfo.php?workbook=10_02.xlsx&amp;sheet=A0&amp;row=817&amp;col=10&amp;number=3.327e-06&amp;sourceID=32","3.327e-06")</f>
        <v>3.327e-06</v>
      </c>
      <c r="K817" s="4" t="str">
        <f>HYPERLINK("http://141.218.60.56/~jnz1568/getInfo.php?workbook=10_02.xlsx&amp;sheet=A0&amp;row=817&amp;col=11&amp;number=&amp;sourceID=46","")</f>
        <v/>
      </c>
      <c r="L817" s="4" t="str">
        <f>HYPERLINK("http://141.218.60.56/~jnz1568/getInfo.php?workbook=10_02.xlsx&amp;sheet=A0&amp;row=817&amp;col=12&amp;number=&amp;sourceID=47","")</f>
        <v/>
      </c>
    </row>
    <row r="818" spans="1:12">
      <c r="A818" s="3">
        <v>10</v>
      </c>
      <c r="B818" s="3">
        <v>2</v>
      </c>
      <c r="C818" s="3">
        <v>46</v>
      </c>
      <c r="D818" s="3">
        <v>8</v>
      </c>
      <c r="E818" s="3"/>
      <c r="F818" s="4" t="str">
        <f>HYPERLINK("http://141.218.60.56/~jnz1568/getInfo.php?workbook=10_02.xlsx&amp;sheet=A0&amp;row=818&amp;col=6&amp;number=&amp;sourceID=27","")</f>
        <v/>
      </c>
      <c r="G818" s="4" t="str">
        <f>HYPERLINK("http://141.218.60.56/~jnz1568/getInfo.php?workbook=10_02.xlsx&amp;sheet=A0&amp;row=818&amp;col=7&amp;number=&amp;sourceID=32","")</f>
        <v/>
      </c>
      <c r="H818" s="4" t="str">
        <f>HYPERLINK("http://141.218.60.56/~jnz1568/getInfo.php?workbook=10_02.xlsx&amp;sheet=A0&amp;row=818&amp;col=8&amp;number=0.2499&amp;sourceID=32","0.2499")</f>
        <v>0.2499</v>
      </c>
      <c r="I818" s="4" t="str">
        <f>HYPERLINK("http://141.218.60.56/~jnz1568/getInfo.php?workbook=10_02.xlsx&amp;sheet=A0&amp;row=818&amp;col=9&amp;number=&amp;sourceID=32","")</f>
        <v/>
      </c>
      <c r="J818" s="4" t="str">
        <f>HYPERLINK("http://141.218.60.56/~jnz1568/getInfo.php?workbook=10_02.xlsx&amp;sheet=A0&amp;row=818&amp;col=10&amp;number=&amp;sourceID=32","")</f>
        <v/>
      </c>
      <c r="K818" s="4" t="str">
        <f>HYPERLINK("http://141.218.60.56/~jnz1568/getInfo.php?workbook=10_02.xlsx&amp;sheet=A0&amp;row=818&amp;col=11&amp;number=&amp;sourceID=46","")</f>
        <v/>
      </c>
      <c r="L818" s="4" t="str">
        <f>HYPERLINK("http://141.218.60.56/~jnz1568/getInfo.php?workbook=10_02.xlsx&amp;sheet=A0&amp;row=818&amp;col=12&amp;number=&amp;sourceID=47","")</f>
        <v/>
      </c>
    </row>
    <row r="819" spans="1:12">
      <c r="A819" s="3">
        <v>10</v>
      </c>
      <c r="B819" s="3">
        <v>2</v>
      </c>
      <c r="C819" s="3">
        <v>46</v>
      </c>
      <c r="D819" s="3">
        <v>9</v>
      </c>
      <c r="E819" s="3"/>
      <c r="F819" s="4" t="str">
        <f>HYPERLINK("http://141.218.60.56/~jnz1568/getInfo.php?workbook=10_02.xlsx&amp;sheet=A0&amp;row=819&amp;col=6&amp;number=&amp;sourceID=27","")</f>
        <v/>
      </c>
      <c r="G819" s="4" t="str">
        <f>HYPERLINK("http://141.218.60.56/~jnz1568/getInfo.php?workbook=10_02.xlsx&amp;sheet=A0&amp;row=819&amp;col=7&amp;number=&amp;sourceID=32","")</f>
        <v/>
      </c>
      <c r="H819" s="4" t="str">
        <f>HYPERLINK("http://141.218.60.56/~jnz1568/getInfo.php?workbook=10_02.xlsx&amp;sheet=A0&amp;row=819&amp;col=8&amp;number=&amp;sourceID=32","")</f>
        <v/>
      </c>
      <c r="I819" s="4" t="str">
        <f>HYPERLINK("http://141.218.60.56/~jnz1568/getInfo.php?workbook=10_02.xlsx&amp;sheet=A0&amp;row=819&amp;col=9&amp;number=&amp;sourceID=32","")</f>
        <v/>
      </c>
      <c r="J819" s="4" t="str">
        <f>HYPERLINK("http://141.218.60.56/~jnz1568/getInfo.php?workbook=10_02.xlsx&amp;sheet=A0&amp;row=819&amp;col=10&amp;number=&amp;sourceID=32","")</f>
        <v/>
      </c>
      <c r="K819" s="4" t="str">
        <f>HYPERLINK("http://141.218.60.56/~jnz1568/getInfo.php?workbook=10_02.xlsx&amp;sheet=A0&amp;row=819&amp;col=11&amp;number=274.66&amp;sourceID=46","274.66")</f>
        <v>274.66</v>
      </c>
      <c r="L819" s="4" t="str">
        <f>HYPERLINK("http://141.218.60.56/~jnz1568/getInfo.php?workbook=10_02.xlsx&amp;sheet=A0&amp;row=819&amp;col=12&amp;number=&amp;sourceID=47","")</f>
        <v/>
      </c>
    </row>
    <row r="820" spans="1:12">
      <c r="A820" s="3">
        <v>10</v>
      </c>
      <c r="B820" s="3">
        <v>2</v>
      </c>
      <c r="C820" s="3">
        <v>46</v>
      </c>
      <c r="D820" s="3">
        <v>10</v>
      </c>
      <c r="E820" s="3"/>
      <c r="F820" s="4" t="str">
        <f>HYPERLINK("http://141.218.60.56/~jnz1568/getInfo.php?workbook=10_02.xlsx&amp;sheet=A0&amp;row=820&amp;col=6&amp;number=&amp;sourceID=27","")</f>
        <v/>
      </c>
      <c r="G820" s="4" t="str">
        <f>HYPERLINK("http://141.218.60.56/~jnz1568/getInfo.php?workbook=10_02.xlsx&amp;sheet=A0&amp;row=820&amp;col=7&amp;number=&amp;sourceID=32","")</f>
        <v/>
      </c>
      <c r="H820" s="4" t="str">
        <f>HYPERLINK("http://141.218.60.56/~jnz1568/getInfo.php?workbook=10_02.xlsx&amp;sheet=A0&amp;row=820&amp;col=8&amp;number=&amp;sourceID=32","")</f>
        <v/>
      </c>
      <c r="I820" s="4" t="str">
        <f>HYPERLINK("http://141.218.60.56/~jnz1568/getInfo.php?workbook=10_02.xlsx&amp;sheet=A0&amp;row=820&amp;col=9&amp;number=&amp;sourceID=32","")</f>
        <v/>
      </c>
      <c r="J820" s="4" t="str">
        <f>HYPERLINK("http://141.218.60.56/~jnz1568/getInfo.php?workbook=10_02.xlsx&amp;sheet=A0&amp;row=820&amp;col=10&amp;number=2.101e-07&amp;sourceID=32","2.101e-07")</f>
        <v>2.101e-07</v>
      </c>
      <c r="K820" s="4" t="str">
        <f>HYPERLINK("http://141.218.60.56/~jnz1568/getInfo.php?workbook=10_02.xlsx&amp;sheet=A0&amp;row=820&amp;col=11&amp;number=308.74&amp;sourceID=46","308.74")</f>
        <v>308.74</v>
      </c>
      <c r="L820" s="4" t="str">
        <f>HYPERLINK("http://141.218.60.56/~jnz1568/getInfo.php?workbook=10_02.xlsx&amp;sheet=A0&amp;row=820&amp;col=12&amp;number=&amp;sourceID=47","")</f>
        <v/>
      </c>
    </row>
    <row r="821" spans="1:12">
      <c r="A821" s="3">
        <v>10</v>
      </c>
      <c r="B821" s="3">
        <v>2</v>
      </c>
      <c r="C821" s="3">
        <v>46</v>
      </c>
      <c r="D821" s="3">
        <v>12</v>
      </c>
      <c r="E821" s="3"/>
      <c r="F821" s="4" t="str">
        <f>HYPERLINK("http://141.218.60.56/~jnz1568/getInfo.php?workbook=10_02.xlsx&amp;sheet=A0&amp;row=821&amp;col=6&amp;number=&amp;sourceID=27","")</f>
        <v/>
      </c>
      <c r="G821" s="4" t="str">
        <f>HYPERLINK("http://141.218.60.56/~jnz1568/getInfo.php?workbook=10_02.xlsx&amp;sheet=A0&amp;row=821&amp;col=7&amp;number=1.343&amp;sourceID=32","1.343")</f>
        <v>1.343</v>
      </c>
      <c r="H821" s="4" t="str">
        <f>HYPERLINK("http://141.218.60.56/~jnz1568/getInfo.php?workbook=10_02.xlsx&amp;sheet=A0&amp;row=821&amp;col=8&amp;number=&amp;sourceID=32","")</f>
        <v/>
      </c>
      <c r="I821" s="4" t="str">
        <f>HYPERLINK("http://141.218.60.56/~jnz1568/getInfo.php?workbook=10_02.xlsx&amp;sheet=A0&amp;row=821&amp;col=9&amp;number=&amp;sourceID=32","")</f>
        <v/>
      </c>
      <c r="J821" s="4" t="str">
        <f>HYPERLINK("http://141.218.60.56/~jnz1568/getInfo.php?workbook=10_02.xlsx&amp;sheet=A0&amp;row=821&amp;col=10&amp;number=1.903e-07&amp;sourceID=32","1.903e-07")</f>
        <v>1.903e-07</v>
      </c>
      <c r="K821" s="4" t="str">
        <f>HYPERLINK("http://141.218.60.56/~jnz1568/getInfo.php?workbook=10_02.xlsx&amp;sheet=A0&amp;row=821&amp;col=11&amp;number=2457.8&amp;sourceID=46","2457.8")</f>
        <v>2457.8</v>
      </c>
      <c r="L821" s="4" t="str">
        <f>HYPERLINK("http://141.218.60.56/~jnz1568/getInfo.php?workbook=10_02.xlsx&amp;sheet=A0&amp;row=821&amp;col=12&amp;number=&amp;sourceID=47","")</f>
        <v/>
      </c>
    </row>
    <row r="822" spans="1:12">
      <c r="A822" s="3">
        <v>10</v>
      </c>
      <c r="B822" s="3">
        <v>2</v>
      </c>
      <c r="C822" s="3">
        <v>46</v>
      </c>
      <c r="D822" s="3">
        <v>13</v>
      </c>
      <c r="E822" s="3"/>
      <c r="F822" s="4" t="str">
        <f>HYPERLINK("http://141.218.60.56/~jnz1568/getInfo.php?workbook=10_02.xlsx&amp;sheet=A0&amp;row=822&amp;col=6&amp;number=&amp;sourceID=27","")</f>
        <v/>
      </c>
      <c r="G822" s="4" t="str">
        <f>HYPERLINK("http://141.218.60.56/~jnz1568/getInfo.php?workbook=10_02.xlsx&amp;sheet=A0&amp;row=822&amp;col=7&amp;number=&amp;sourceID=32","")</f>
        <v/>
      </c>
      <c r="H822" s="4" t="str">
        <f>HYPERLINK("http://141.218.60.56/~jnz1568/getInfo.php?workbook=10_02.xlsx&amp;sheet=A0&amp;row=822&amp;col=8&amp;number=4761000&amp;sourceID=32","4761000")</f>
        <v>4761000</v>
      </c>
      <c r="I822" s="4" t="str">
        <f>HYPERLINK("http://141.218.60.56/~jnz1568/getInfo.php?workbook=10_02.xlsx&amp;sheet=A0&amp;row=822&amp;col=9&amp;number=&amp;sourceID=32","")</f>
        <v/>
      </c>
      <c r="J822" s="4" t="str">
        <f>HYPERLINK("http://141.218.60.56/~jnz1568/getInfo.php?workbook=10_02.xlsx&amp;sheet=A0&amp;row=822&amp;col=10&amp;number=&amp;sourceID=32","")</f>
        <v/>
      </c>
      <c r="K822" s="4" t="str">
        <f>HYPERLINK("http://141.218.60.56/~jnz1568/getInfo.php?workbook=10_02.xlsx&amp;sheet=A0&amp;row=822&amp;col=11&amp;number=4761200&amp;sourceID=46","4761200")</f>
        <v>4761200</v>
      </c>
      <c r="L822" s="4" t="str">
        <f>HYPERLINK("http://141.218.60.56/~jnz1568/getInfo.php?workbook=10_02.xlsx&amp;sheet=A0&amp;row=822&amp;col=12&amp;number=&amp;sourceID=47","")</f>
        <v/>
      </c>
    </row>
    <row r="823" spans="1:12">
      <c r="A823" s="3">
        <v>10</v>
      </c>
      <c r="B823" s="3">
        <v>2</v>
      </c>
      <c r="C823" s="3">
        <v>46</v>
      </c>
      <c r="D823" s="3">
        <v>14</v>
      </c>
      <c r="E823" s="3"/>
      <c r="F823" s="4" t="str">
        <f>HYPERLINK("http://141.218.60.56/~jnz1568/getInfo.php?workbook=10_02.xlsx&amp;sheet=A0&amp;row=823&amp;col=6&amp;number=&amp;sourceID=27","")</f>
        <v/>
      </c>
      <c r="G823" s="4" t="str">
        <f>HYPERLINK("http://141.218.60.56/~jnz1568/getInfo.php?workbook=10_02.xlsx&amp;sheet=A0&amp;row=823&amp;col=7&amp;number=&amp;sourceID=32","")</f>
        <v/>
      </c>
      <c r="H823" s="4" t="str">
        <f>HYPERLINK("http://141.218.60.56/~jnz1568/getInfo.php?workbook=10_02.xlsx&amp;sheet=A0&amp;row=823&amp;col=8&amp;number=1266000&amp;sourceID=32","1266000")</f>
        <v>1266000</v>
      </c>
      <c r="I823" s="4" t="str">
        <f>HYPERLINK("http://141.218.60.56/~jnz1568/getInfo.php?workbook=10_02.xlsx&amp;sheet=A0&amp;row=823&amp;col=9&amp;number=0.001501&amp;sourceID=32","0.001501")</f>
        <v>0.001501</v>
      </c>
      <c r="J823" s="4" t="str">
        <f>HYPERLINK("http://141.218.60.56/~jnz1568/getInfo.php?workbook=10_02.xlsx&amp;sheet=A0&amp;row=823&amp;col=10&amp;number=&amp;sourceID=32","")</f>
        <v/>
      </c>
      <c r="K823" s="4" t="str">
        <f>HYPERLINK("http://141.218.60.56/~jnz1568/getInfo.php?workbook=10_02.xlsx&amp;sheet=A0&amp;row=823&amp;col=11&amp;number=1286200&amp;sourceID=46","1286200")</f>
        <v>1286200</v>
      </c>
      <c r="L823" s="4" t="str">
        <f>HYPERLINK("http://141.218.60.56/~jnz1568/getInfo.php?workbook=10_02.xlsx&amp;sheet=A0&amp;row=823&amp;col=12&amp;number=&amp;sourceID=47","")</f>
        <v/>
      </c>
    </row>
    <row r="824" spans="1:12">
      <c r="A824" s="3">
        <v>10</v>
      </c>
      <c r="B824" s="3">
        <v>2</v>
      </c>
      <c r="C824" s="3">
        <v>46</v>
      </c>
      <c r="D824" s="3">
        <v>15</v>
      </c>
      <c r="E824" s="3"/>
      <c r="F824" s="4" t="str">
        <f>HYPERLINK("http://141.218.60.56/~jnz1568/getInfo.php?workbook=10_02.xlsx&amp;sheet=A0&amp;row=824&amp;col=6&amp;number=&amp;sourceID=27","")</f>
        <v/>
      </c>
      <c r="G824" s="4" t="str">
        <f>HYPERLINK("http://141.218.60.56/~jnz1568/getInfo.php?workbook=10_02.xlsx&amp;sheet=A0&amp;row=824&amp;col=7&amp;number=&amp;sourceID=32","")</f>
        <v/>
      </c>
      <c r="H824" s="4" t="str">
        <f>HYPERLINK("http://141.218.60.56/~jnz1568/getInfo.php?workbook=10_02.xlsx&amp;sheet=A0&amp;row=824&amp;col=8&amp;number=88160&amp;sourceID=32","88160")</f>
        <v>88160</v>
      </c>
      <c r="I824" s="4" t="str">
        <f>HYPERLINK("http://141.218.60.56/~jnz1568/getInfo.php?workbook=10_02.xlsx&amp;sheet=A0&amp;row=824&amp;col=9&amp;number=0.0006584&amp;sourceID=32","0.0006584")</f>
        <v>0.0006584</v>
      </c>
      <c r="J824" s="4" t="str">
        <f>HYPERLINK("http://141.218.60.56/~jnz1568/getInfo.php?workbook=10_02.xlsx&amp;sheet=A0&amp;row=824&amp;col=10&amp;number=&amp;sourceID=32","")</f>
        <v/>
      </c>
      <c r="K824" s="4" t="str">
        <f>HYPERLINK("http://141.218.60.56/~jnz1568/getInfo.php?workbook=10_02.xlsx&amp;sheet=A0&amp;row=824&amp;col=11&amp;number=88246&amp;sourceID=46","88246")</f>
        <v>88246</v>
      </c>
      <c r="L824" s="4" t="str">
        <f>HYPERLINK("http://141.218.60.56/~jnz1568/getInfo.php?workbook=10_02.xlsx&amp;sheet=A0&amp;row=824&amp;col=12&amp;number=&amp;sourceID=47","")</f>
        <v/>
      </c>
    </row>
    <row r="825" spans="1:12">
      <c r="A825" s="3">
        <v>10</v>
      </c>
      <c r="B825" s="3">
        <v>2</v>
      </c>
      <c r="C825" s="3">
        <v>46</v>
      </c>
      <c r="D825" s="3">
        <v>16</v>
      </c>
      <c r="E825" s="3"/>
      <c r="F825" s="4" t="str">
        <f>HYPERLINK("http://141.218.60.56/~jnz1568/getInfo.php?workbook=10_02.xlsx&amp;sheet=A0&amp;row=825&amp;col=6&amp;number=&amp;sourceID=27","")</f>
        <v/>
      </c>
      <c r="G825" s="4" t="str">
        <f>HYPERLINK("http://141.218.60.56/~jnz1568/getInfo.php?workbook=10_02.xlsx&amp;sheet=A0&amp;row=825&amp;col=7&amp;number=&amp;sourceID=32","")</f>
        <v/>
      </c>
      <c r="H825" s="4" t="str">
        <f>HYPERLINK("http://141.218.60.56/~jnz1568/getInfo.php?workbook=10_02.xlsx&amp;sheet=A0&amp;row=825&amp;col=8&amp;number=56380&amp;sourceID=32","56380")</f>
        <v>56380</v>
      </c>
      <c r="I825" s="4" t="str">
        <f>HYPERLINK("http://141.218.60.56/~jnz1568/getInfo.php?workbook=10_02.xlsx&amp;sheet=A0&amp;row=825&amp;col=9&amp;number=0.004823&amp;sourceID=32","0.004823")</f>
        <v>0.004823</v>
      </c>
      <c r="J825" s="4" t="str">
        <f>HYPERLINK("http://141.218.60.56/~jnz1568/getInfo.php?workbook=10_02.xlsx&amp;sheet=A0&amp;row=825&amp;col=10&amp;number=&amp;sourceID=32","")</f>
        <v/>
      </c>
      <c r="K825" s="4" t="str">
        <f>HYPERLINK("http://141.218.60.56/~jnz1568/getInfo.php?workbook=10_02.xlsx&amp;sheet=A0&amp;row=825&amp;col=11&amp;number=36014&amp;sourceID=46","36014")</f>
        <v>36014</v>
      </c>
      <c r="L825" s="4" t="str">
        <f>HYPERLINK("http://141.218.60.56/~jnz1568/getInfo.php?workbook=10_02.xlsx&amp;sheet=A0&amp;row=825&amp;col=12&amp;number=&amp;sourceID=47","")</f>
        <v/>
      </c>
    </row>
    <row r="826" spans="1:12">
      <c r="A826" s="3">
        <v>10</v>
      </c>
      <c r="B826" s="3">
        <v>2</v>
      </c>
      <c r="C826" s="3">
        <v>46</v>
      </c>
      <c r="D826" s="3">
        <v>17</v>
      </c>
      <c r="E826" s="3"/>
      <c r="F826" s="4" t="str">
        <f>HYPERLINK("http://141.218.60.56/~jnz1568/getInfo.php?workbook=10_02.xlsx&amp;sheet=A0&amp;row=826&amp;col=6&amp;number=&amp;sourceID=27","")</f>
        <v/>
      </c>
      <c r="G826" s="4" t="str">
        <f>HYPERLINK("http://141.218.60.56/~jnz1568/getInfo.php?workbook=10_02.xlsx&amp;sheet=A0&amp;row=826&amp;col=7&amp;number=&amp;sourceID=32","")</f>
        <v/>
      </c>
      <c r="H826" s="4" t="str">
        <f>HYPERLINK("http://141.218.60.56/~jnz1568/getInfo.php?workbook=10_02.xlsx&amp;sheet=A0&amp;row=826&amp;col=8&amp;number=&amp;sourceID=32","")</f>
        <v/>
      </c>
      <c r="I826" s="4" t="str">
        <f>HYPERLINK("http://141.218.60.56/~jnz1568/getInfo.php?workbook=10_02.xlsx&amp;sheet=A0&amp;row=826&amp;col=9&amp;number=&amp;sourceID=32","")</f>
        <v/>
      </c>
      <c r="J826" s="4" t="str">
        <f>HYPERLINK("http://141.218.60.56/~jnz1568/getInfo.php?workbook=10_02.xlsx&amp;sheet=A0&amp;row=826&amp;col=10&amp;number=2.256e-07&amp;sourceID=32","2.256e-07")</f>
        <v>2.256e-07</v>
      </c>
      <c r="K826" s="4" t="str">
        <f>HYPERLINK("http://141.218.60.56/~jnz1568/getInfo.php?workbook=10_02.xlsx&amp;sheet=A0&amp;row=826&amp;col=11&amp;number=&amp;sourceID=46","")</f>
        <v/>
      </c>
      <c r="L826" s="4" t="str">
        <f>HYPERLINK("http://141.218.60.56/~jnz1568/getInfo.php?workbook=10_02.xlsx&amp;sheet=A0&amp;row=826&amp;col=12&amp;number=&amp;sourceID=47","")</f>
        <v/>
      </c>
    </row>
    <row r="827" spans="1:12">
      <c r="A827" s="3">
        <v>10</v>
      </c>
      <c r="B827" s="3">
        <v>2</v>
      </c>
      <c r="C827" s="3">
        <v>46</v>
      </c>
      <c r="D827" s="3">
        <v>18</v>
      </c>
      <c r="E827" s="3"/>
      <c r="F827" s="4" t="str">
        <f>HYPERLINK("http://141.218.60.56/~jnz1568/getInfo.php?workbook=10_02.xlsx&amp;sheet=A0&amp;row=827&amp;col=6&amp;number=&amp;sourceID=27","")</f>
        <v/>
      </c>
      <c r="G827" s="4" t="str">
        <f>HYPERLINK("http://141.218.60.56/~jnz1568/getInfo.php?workbook=10_02.xlsx&amp;sheet=A0&amp;row=827&amp;col=7&amp;number=&amp;sourceID=32","")</f>
        <v/>
      </c>
      <c r="H827" s="4" t="str">
        <f>HYPERLINK("http://141.218.60.56/~jnz1568/getInfo.php?workbook=10_02.xlsx&amp;sheet=A0&amp;row=827&amp;col=8&amp;number=0.03646&amp;sourceID=32","0.03646")</f>
        <v>0.03646</v>
      </c>
      <c r="I827" s="4" t="str">
        <f>HYPERLINK("http://141.218.60.56/~jnz1568/getInfo.php?workbook=10_02.xlsx&amp;sheet=A0&amp;row=827&amp;col=9&amp;number=&amp;sourceID=32","")</f>
        <v/>
      </c>
      <c r="J827" s="4" t="str">
        <f>HYPERLINK("http://141.218.60.56/~jnz1568/getInfo.php?workbook=10_02.xlsx&amp;sheet=A0&amp;row=827&amp;col=10&amp;number=&amp;sourceID=32","")</f>
        <v/>
      </c>
      <c r="K827" s="4" t="str">
        <f>HYPERLINK("http://141.218.60.56/~jnz1568/getInfo.php?workbook=10_02.xlsx&amp;sheet=A0&amp;row=827&amp;col=11&amp;number=&amp;sourceID=46","")</f>
        <v/>
      </c>
      <c r="L827" s="4" t="str">
        <f>HYPERLINK("http://141.218.60.56/~jnz1568/getInfo.php?workbook=10_02.xlsx&amp;sheet=A0&amp;row=827&amp;col=12&amp;number=&amp;sourceID=47","")</f>
        <v/>
      </c>
    </row>
    <row r="828" spans="1:12">
      <c r="A828" s="3">
        <v>10</v>
      </c>
      <c r="B828" s="3">
        <v>2</v>
      </c>
      <c r="C828" s="3">
        <v>46</v>
      </c>
      <c r="D828" s="3">
        <v>19</v>
      </c>
      <c r="E828" s="3"/>
      <c r="F828" s="4" t="str">
        <f>HYPERLINK("http://141.218.60.56/~jnz1568/getInfo.php?workbook=10_02.xlsx&amp;sheet=A0&amp;row=828&amp;col=6&amp;number=&amp;sourceID=27","")</f>
        <v/>
      </c>
      <c r="G828" s="4" t="str">
        <f>HYPERLINK("http://141.218.60.56/~jnz1568/getInfo.php?workbook=10_02.xlsx&amp;sheet=A0&amp;row=828&amp;col=7&amp;number=&amp;sourceID=32","")</f>
        <v/>
      </c>
      <c r="H828" s="4" t="str">
        <f>HYPERLINK("http://141.218.60.56/~jnz1568/getInfo.php?workbook=10_02.xlsx&amp;sheet=A0&amp;row=828&amp;col=8&amp;number=&amp;sourceID=32","")</f>
        <v/>
      </c>
      <c r="I828" s="4" t="str">
        <f>HYPERLINK("http://141.218.60.56/~jnz1568/getInfo.php?workbook=10_02.xlsx&amp;sheet=A0&amp;row=828&amp;col=9&amp;number=&amp;sourceID=32","")</f>
        <v/>
      </c>
      <c r="J828" s="4" t="str">
        <f>HYPERLINK("http://141.218.60.56/~jnz1568/getInfo.php?workbook=10_02.xlsx&amp;sheet=A0&amp;row=828&amp;col=10&amp;number=&amp;sourceID=32","")</f>
        <v/>
      </c>
      <c r="K828" s="4" t="str">
        <f>HYPERLINK("http://141.218.60.56/~jnz1568/getInfo.php?workbook=10_02.xlsx&amp;sheet=A0&amp;row=828&amp;col=11&amp;number=2.7957&amp;sourceID=46","2.7957")</f>
        <v>2.7957</v>
      </c>
      <c r="L828" s="4" t="str">
        <f>HYPERLINK("http://141.218.60.56/~jnz1568/getInfo.php?workbook=10_02.xlsx&amp;sheet=A0&amp;row=828&amp;col=12&amp;number=&amp;sourceID=47","")</f>
        <v/>
      </c>
    </row>
    <row r="829" spans="1:12">
      <c r="A829" s="3">
        <v>10</v>
      </c>
      <c r="B829" s="3">
        <v>2</v>
      </c>
      <c r="C829" s="3">
        <v>46</v>
      </c>
      <c r="D829" s="3">
        <v>20</v>
      </c>
      <c r="E829" s="3"/>
      <c r="F829" s="4" t="str">
        <f>HYPERLINK("http://141.218.60.56/~jnz1568/getInfo.php?workbook=10_02.xlsx&amp;sheet=A0&amp;row=829&amp;col=6&amp;number=&amp;sourceID=27","")</f>
        <v/>
      </c>
      <c r="G829" s="4" t="str">
        <f>HYPERLINK("http://141.218.60.56/~jnz1568/getInfo.php?workbook=10_02.xlsx&amp;sheet=A0&amp;row=829&amp;col=7&amp;number=&amp;sourceID=32","")</f>
        <v/>
      </c>
      <c r="H829" s="4" t="str">
        <f>HYPERLINK("http://141.218.60.56/~jnz1568/getInfo.php?workbook=10_02.xlsx&amp;sheet=A0&amp;row=829&amp;col=8&amp;number=&amp;sourceID=32","")</f>
        <v/>
      </c>
      <c r="I829" s="4" t="str">
        <f>HYPERLINK("http://141.218.60.56/~jnz1568/getInfo.php?workbook=10_02.xlsx&amp;sheet=A0&amp;row=829&amp;col=9&amp;number=&amp;sourceID=32","")</f>
        <v/>
      </c>
      <c r="J829" s="4" t="str">
        <f>HYPERLINK("http://141.218.60.56/~jnz1568/getInfo.php?workbook=10_02.xlsx&amp;sheet=A0&amp;row=829&amp;col=10&amp;number=9.85e-10&amp;sourceID=32","9.85e-10")</f>
        <v>9.85e-10</v>
      </c>
      <c r="K829" s="4" t="str">
        <f>HYPERLINK("http://141.218.60.56/~jnz1568/getInfo.php?workbook=10_02.xlsx&amp;sheet=A0&amp;row=829&amp;col=11&amp;number=3.1423&amp;sourceID=46","3.1423")</f>
        <v>3.1423</v>
      </c>
      <c r="L829" s="4" t="str">
        <f>HYPERLINK("http://141.218.60.56/~jnz1568/getInfo.php?workbook=10_02.xlsx&amp;sheet=A0&amp;row=829&amp;col=12&amp;number=&amp;sourceID=47","")</f>
        <v/>
      </c>
    </row>
    <row r="830" spans="1:12">
      <c r="A830" s="3">
        <v>10</v>
      </c>
      <c r="B830" s="3">
        <v>2</v>
      </c>
      <c r="C830" s="3">
        <v>46</v>
      </c>
      <c r="D830" s="3">
        <v>22</v>
      </c>
      <c r="E830" s="3"/>
      <c r="F830" s="4" t="str">
        <f>HYPERLINK("http://141.218.60.56/~jnz1568/getInfo.php?workbook=10_02.xlsx&amp;sheet=A0&amp;row=830&amp;col=6&amp;number=&amp;sourceID=27","")</f>
        <v/>
      </c>
      <c r="G830" s="4" t="str">
        <f>HYPERLINK("http://141.218.60.56/~jnz1568/getInfo.php?workbook=10_02.xlsx&amp;sheet=A0&amp;row=830&amp;col=7&amp;number=52.5&amp;sourceID=32","52.5")</f>
        <v>52.5</v>
      </c>
      <c r="H830" s="4" t="str">
        <f>HYPERLINK("http://141.218.60.56/~jnz1568/getInfo.php?workbook=10_02.xlsx&amp;sheet=A0&amp;row=830&amp;col=8&amp;number=&amp;sourceID=32","")</f>
        <v/>
      </c>
      <c r="I830" s="4" t="str">
        <f>HYPERLINK("http://141.218.60.56/~jnz1568/getInfo.php?workbook=10_02.xlsx&amp;sheet=A0&amp;row=830&amp;col=9&amp;number=&amp;sourceID=32","")</f>
        <v/>
      </c>
      <c r="J830" s="4" t="str">
        <f>HYPERLINK("http://141.218.60.56/~jnz1568/getInfo.php?workbook=10_02.xlsx&amp;sheet=A0&amp;row=830&amp;col=10&amp;number=1.798e-08&amp;sourceID=32","1.798e-08")</f>
        <v>1.798e-08</v>
      </c>
      <c r="K830" s="4" t="str">
        <f>HYPERLINK("http://141.218.60.56/~jnz1568/getInfo.php?workbook=10_02.xlsx&amp;sheet=A0&amp;row=830&amp;col=11&amp;number=664.46&amp;sourceID=46","664.46")</f>
        <v>664.46</v>
      </c>
      <c r="L830" s="4" t="str">
        <f>HYPERLINK("http://141.218.60.56/~jnz1568/getInfo.php?workbook=10_02.xlsx&amp;sheet=A0&amp;row=830&amp;col=12&amp;number=&amp;sourceID=47","")</f>
        <v/>
      </c>
    </row>
    <row r="831" spans="1:12">
      <c r="A831" s="3">
        <v>10</v>
      </c>
      <c r="B831" s="3">
        <v>2</v>
      </c>
      <c r="C831" s="3">
        <v>46</v>
      </c>
      <c r="D831" s="3">
        <v>23</v>
      </c>
      <c r="E831" s="3"/>
      <c r="F831" s="4" t="str">
        <f>HYPERLINK("http://141.218.60.56/~jnz1568/getInfo.php?workbook=10_02.xlsx&amp;sheet=A0&amp;row=831&amp;col=6&amp;number=&amp;sourceID=27","")</f>
        <v/>
      </c>
      <c r="G831" s="4" t="str">
        <f>HYPERLINK("http://141.218.60.56/~jnz1568/getInfo.php?workbook=10_02.xlsx&amp;sheet=A0&amp;row=831&amp;col=7&amp;number=&amp;sourceID=32","")</f>
        <v/>
      </c>
      <c r="H831" s="4" t="str">
        <f>HYPERLINK("http://141.218.60.56/~jnz1568/getInfo.php?workbook=10_02.xlsx&amp;sheet=A0&amp;row=831&amp;col=8&amp;number=412700&amp;sourceID=32","412700")</f>
        <v>412700</v>
      </c>
      <c r="I831" s="4" t="str">
        <f>HYPERLINK("http://141.218.60.56/~jnz1568/getInfo.php?workbook=10_02.xlsx&amp;sheet=A0&amp;row=831&amp;col=9&amp;number=&amp;sourceID=32","")</f>
        <v/>
      </c>
      <c r="J831" s="4" t="str">
        <f>HYPERLINK("http://141.218.60.56/~jnz1568/getInfo.php?workbook=10_02.xlsx&amp;sheet=A0&amp;row=831&amp;col=10&amp;number=&amp;sourceID=32","")</f>
        <v/>
      </c>
      <c r="K831" s="4" t="str">
        <f>HYPERLINK("http://141.218.60.56/~jnz1568/getInfo.php?workbook=10_02.xlsx&amp;sheet=A0&amp;row=831&amp;col=11&amp;number=412740&amp;sourceID=46","412740")</f>
        <v>412740</v>
      </c>
      <c r="L831" s="4" t="str">
        <f>HYPERLINK("http://141.218.60.56/~jnz1568/getInfo.php?workbook=10_02.xlsx&amp;sheet=A0&amp;row=831&amp;col=12&amp;number=&amp;sourceID=47","")</f>
        <v/>
      </c>
    </row>
    <row r="832" spans="1:12">
      <c r="A832" s="3">
        <v>10</v>
      </c>
      <c r="B832" s="3">
        <v>2</v>
      </c>
      <c r="C832" s="3">
        <v>46</v>
      </c>
      <c r="D832" s="3">
        <v>24</v>
      </c>
      <c r="E832" s="3"/>
      <c r="F832" s="4" t="str">
        <f>HYPERLINK("http://141.218.60.56/~jnz1568/getInfo.php?workbook=10_02.xlsx&amp;sheet=A0&amp;row=832&amp;col=6&amp;number=&amp;sourceID=27","")</f>
        <v/>
      </c>
      <c r="G832" s="4" t="str">
        <f>HYPERLINK("http://141.218.60.56/~jnz1568/getInfo.php?workbook=10_02.xlsx&amp;sheet=A0&amp;row=832&amp;col=7&amp;number=&amp;sourceID=32","")</f>
        <v/>
      </c>
      <c r="H832" s="4" t="str">
        <f>HYPERLINK("http://141.218.60.56/~jnz1568/getInfo.php?workbook=10_02.xlsx&amp;sheet=A0&amp;row=832&amp;col=8&amp;number=111400&amp;sourceID=32","111400")</f>
        <v>111400</v>
      </c>
      <c r="I832" s="4" t="str">
        <f>HYPERLINK("http://141.218.60.56/~jnz1568/getInfo.php?workbook=10_02.xlsx&amp;sheet=A0&amp;row=832&amp;col=9&amp;number=6.863e-05&amp;sourceID=32","6.863e-05")</f>
        <v>6.863e-05</v>
      </c>
      <c r="J832" s="4" t="str">
        <f>HYPERLINK("http://141.218.60.56/~jnz1568/getInfo.php?workbook=10_02.xlsx&amp;sheet=A0&amp;row=832&amp;col=10&amp;number=&amp;sourceID=32","")</f>
        <v/>
      </c>
      <c r="K832" s="4" t="str">
        <f>HYPERLINK("http://141.218.60.56/~jnz1568/getInfo.php?workbook=10_02.xlsx&amp;sheet=A0&amp;row=832&amp;col=11&amp;number=112660&amp;sourceID=46","112660")</f>
        <v>112660</v>
      </c>
      <c r="L832" s="4" t="str">
        <f>HYPERLINK("http://141.218.60.56/~jnz1568/getInfo.php?workbook=10_02.xlsx&amp;sheet=A0&amp;row=832&amp;col=12&amp;number=&amp;sourceID=47","")</f>
        <v/>
      </c>
    </row>
    <row r="833" spans="1:12">
      <c r="A833" s="3">
        <v>10</v>
      </c>
      <c r="B833" s="3">
        <v>2</v>
      </c>
      <c r="C833" s="3">
        <v>46</v>
      </c>
      <c r="D833" s="3">
        <v>25</v>
      </c>
      <c r="E833" s="3"/>
      <c r="F833" s="4" t="str">
        <f>HYPERLINK("http://141.218.60.56/~jnz1568/getInfo.php?workbook=10_02.xlsx&amp;sheet=A0&amp;row=833&amp;col=6&amp;number=&amp;sourceID=27","")</f>
        <v/>
      </c>
      <c r="G833" s="4" t="str">
        <f>HYPERLINK("http://141.218.60.56/~jnz1568/getInfo.php?workbook=10_02.xlsx&amp;sheet=A0&amp;row=833&amp;col=7&amp;number=&amp;sourceID=32","")</f>
        <v/>
      </c>
      <c r="H833" s="4" t="str">
        <f>HYPERLINK("http://141.218.60.56/~jnz1568/getInfo.php?workbook=10_02.xlsx&amp;sheet=A0&amp;row=833&amp;col=8&amp;number=7632&amp;sourceID=32","7632")</f>
        <v>7632</v>
      </c>
      <c r="I833" s="4" t="str">
        <f>HYPERLINK("http://141.218.60.56/~jnz1568/getInfo.php?workbook=10_02.xlsx&amp;sheet=A0&amp;row=833&amp;col=9&amp;number=2.194e-05&amp;sourceID=32","2.194e-05")</f>
        <v>2.194e-05</v>
      </c>
      <c r="J833" s="4" t="str">
        <f>HYPERLINK("http://141.218.60.56/~jnz1568/getInfo.php?workbook=10_02.xlsx&amp;sheet=A0&amp;row=833&amp;col=10&amp;number=&amp;sourceID=32","")</f>
        <v/>
      </c>
      <c r="K833" s="4" t="str">
        <f>HYPERLINK("http://141.218.60.56/~jnz1568/getInfo.php?workbook=10_02.xlsx&amp;sheet=A0&amp;row=833&amp;col=11&amp;number=7615.2&amp;sourceID=46","7615.2")</f>
        <v>7615.2</v>
      </c>
      <c r="L833" s="4" t="str">
        <f>HYPERLINK("http://141.218.60.56/~jnz1568/getInfo.php?workbook=10_02.xlsx&amp;sheet=A0&amp;row=833&amp;col=12&amp;number=&amp;sourceID=47","")</f>
        <v/>
      </c>
    </row>
    <row r="834" spans="1:12">
      <c r="A834" s="3">
        <v>10</v>
      </c>
      <c r="B834" s="3">
        <v>2</v>
      </c>
      <c r="C834" s="3">
        <v>46</v>
      </c>
      <c r="D834" s="3">
        <v>26</v>
      </c>
      <c r="E834" s="3"/>
      <c r="F834" s="4" t="str">
        <f>HYPERLINK("http://141.218.60.56/~jnz1568/getInfo.php?workbook=10_02.xlsx&amp;sheet=A0&amp;row=834&amp;col=6&amp;number=&amp;sourceID=27","")</f>
        <v/>
      </c>
      <c r="G834" s="4" t="str">
        <f>HYPERLINK("http://141.218.60.56/~jnz1568/getInfo.php?workbook=10_02.xlsx&amp;sheet=A0&amp;row=834&amp;col=7&amp;number=1323000000&amp;sourceID=32","1323000000")</f>
        <v>1323000000</v>
      </c>
      <c r="H834" s="4" t="str">
        <f>HYPERLINK("http://141.218.60.56/~jnz1568/getInfo.php?workbook=10_02.xlsx&amp;sheet=A0&amp;row=834&amp;col=8&amp;number=&amp;sourceID=32","")</f>
        <v/>
      </c>
      <c r="I834" s="4" t="str">
        <f>HYPERLINK("http://141.218.60.56/~jnz1568/getInfo.php?workbook=10_02.xlsx&amp;sheet=A0&amp;row=834&amp;col=9&amp;number=&amp;sourceID=32","")</f>
        <v/>
      </c>
      <c r="J834" s="4" t="str">
        <f>HYPERLINK("http://141.218.60.56/~jnz1568/getInfo.php?workbook=10_02.xlsx&amp;sheet=A0&amp;row=834&amp;col=10&amp;number=1.028&amp;sourceID=32","1.028")</f>
        <v>1.028</v>
      </c>
      <c r="K834" s="4" t="str">
        <f>HYPERLINK("http://141.218.60.56/~jnz1568/getInfo.php?workbook=10_02.xlsx&amp;sheet=A0&amp;row=834&amp;col=11&amp;number=1354100000&amp;sourceID=46","1354100000")</f>
        <v>1354100000</v>
      </c>
      <c r="L834" s="4" t="str">
        <f>HYPERLINK("http://141.218.60.56/~jnz1568/getInfo.php?workbook=10_02.xlsx&amp;sheet=A0&amp;row=834&amp;col=12&amp;number=&amp;sourceID=47","")</f>
        <v/>
      </c>
    </row>
    <row r="835" spans="1:12">
      <c r="A835" s="3">
        <v>10</v>
      </c>
      <c r="B835" s="3">
        <v>2</v>
      </c>
      <c r="C835" s="3">
        <v>46</v>
      </c>
      <c r="D835" s="3">
        <v>27</v>
      </c>
      <c r="E835" s="3"/>
      <c r="F835" s="4" t="str">
        <f>HYPERLINK("http://141.218.60.56/~jnz1568/getInfo.php?workbook=10_02.xlsx&amp;sheet=A0&amp;row=835&amp;col=6&amp;number=&amp;sourceID=27","")</f>
        <v/>
      </c>
      <c r="G835" s="4" t="str">
        <f>HYPERLINK("http://141.218.60.56/~jnz1568/getInfo.php?workbook=10_02.xlsx&amp;sheet=A0&amp;row=835&amp;col=7&amp;number=25650000000&amp;sourceID=32","25650000000")</f>
        <v>25650000000</v>
      </c>
      <c r="H835" s="4" t="str">
        <f>HYPERLINK("http://141.218.60.56/~jnz1568/getInfo.php?workbook=10_02.xlsx&amp;sheet=A0&amp;row=835&amp;col=8&amp;number=&amp;sourceID=32","")</f>
        <v/>
      </c>
      <c r="I835" s="4" t="str">
        <f>HYPERLINK("http://141.218.60.56/~jnz1568/getInfo.php?workbook=10_02.xlsx&amp;sheet=A0&amp;row=835&amp;col=9&amp;number=&amp;sourceID=32","")</f>
        <v/>
      </c>
      <c r="J835" s="4" t="str">
        <f>HYPERLINK("http://141.218.60.56/~jnz1568/getInfo.php?workbook=10_02.xlsx&amp;sheet=A0&amp;row=835&amp;col=10&amp;number=6.17&amp;sourceID=32","6.17")</f>
        <v>6.17</v>
      </c>
      <c r="K835" s="4" t="str">
        <f>HYPERLINK("http://141.218.60.56/~jnz1568/getInfo.php?workbook=10_02.xlsx&amp;sheet=A0&amp;row=835&amp;col=11&amp;number=25652000000&amp;sourceID=46","25652000000")</f>
        <v>25652000000</v>
      </c>
      <c r="L835" s="4" t="str">
        <f>HYPERLINK("http://141.218.60.56/~jnz1568/getInfo.php?workbook=10_02.xlsx&amp;sheet=A0&amp;row=835&amp;col=12&amp;number=&amp;sourceID=47","")</f>
        <v/>
      </c>
    </row>
    <row r="836" spans="1:12">
      <c r="A836" s="3">
        <v>10</v>
      </c>
      <c r="B836" s="3">
        <v>2</v>
      </c>
      <c r="C836" s="3">
        <v>46</v>
      </c>
      <c r="D836" s="3">
        <v>28</v>
      </c>
      <c r="E836" s="3"/>
      <c r="F836" s="4" t="str">
        <f>HYPERLINK("http://141.218.60.56/~jnz1568/getInfo.php?workbook=10_02.xlsx&amp;sheet=A0&amp;row=836&amp;col=6&amp;number=&amp;sourceID=27","")</f>
        <v/>
      </c>
      <c r="G836" s="4" t="str">
        <f>HYPERLINK("http://141.218.60.56/~jnz1568/getInfo.php?workbook=10_02.xlsx&amp;sheet=A0&amp;row=836&amp;col=7&amp;number=&amp;sourceID=32","")</f>
        <v/>
      </c>
      <c r="H836" s="4" t="str">
        <f>HYPERLINK("http://141.218.60.56/~jnz1568/getInfo.php?workbook=10_02.xlsx&amp;sheet=A0&amp;row=836&amp;col=8&amp;number=&amp;sourceID=32","")</f>
        <v/>
      </c>
      <c r="I836" s="4" t="str">
        <f>HYPERLINK("http://141.218.60.56/~jnz1568/getInfo.php?workbook=10_02.xlsx&amp;sheet=A0&amp;row=836&amp;col=9&amp;number=&amp;sourceID=32","")</f>
        <v/>
      </c>
      <c r="J836" s="4" t="str">
        <f>HYPERLINK("http://141.218.60.56/~jnz1568/getInfo.php?workbook=10_02.xlsx&amp;sheet=A0&amp;row=836&amp;col=10&amp;number=&amp;sourceID=32","")</f>
        <v/>
      </c>
      <c r="K836" s="4" t="str">
        <f>HYPERLINK("http://141.218.60.56/~jnz1568/getInfo.php?workbook=10_02.xlsx&amp;sheet=A0&amp;row=836&amp;col=11&amp;number=35553000&amp;sourceID=46","35553000")</f>
        <v>35553000</v>
      </c>
      <c r="L836" s="4" t="str">
        <f>HYPERLINK("http://141.218.60.56/~jnz1568/getInfo.php?workbook=10_02.xlsx&amp;sheet=A0&amp;row=836&amp;col=12&amp;number=&amp;sourceID=47","")</f>
        <v/>
      </c>
    </row>
    <row r="837" spans="1:12">
      <c r="A837" s="3">
        <v>10</v>
      </c>
      <c r="B837" s="3">
        <v>2</v>
      </c>
      <c r="C837" s="3">
        <v>46</v>
      </c>
      <c r="D837" s="3">
        <v>29</v>
      </c>
      <c r="E837" s="3"/>
      <c r="F837" s="4" t="str">
        <f>HYPERLINK("http://141.218.60.56/~jnz1568/getInfo.php?workbook=10_02.xlsx&amp;sheet=A0&amp;row=837&amp;col=6&amp;number=&amp;sourceID=27","")</f>
        <v/>
      </c>
      <c r="G837" s="4" t="str">
        <f>HYPERLINK("http://141.218.60.56/~jnz1568/getInfo.php?workbook=10_02.xlsx&amp;sheet=A0&amp;row=837&amp;col=7&amp;number=&amp;sourceID=32","")</f>
        <v/>
      </c>
      <c r="H837" s="4" t="str">
        <f>HYPERLINK("http://141.218.60.56/~jnz1568/getInfo.php?workbook=10_02.xlsx&amp;sheet=A0&amp;row=837&amp;col=8&amp;number=3166&amp;sourceID=32","3166")</f>
        <v>3166</v>
      </c>
      <c r="I837" s="4" t="str">
        <f>HYPERLINK("http://141.218.60.56/~jnz1568/getInfo.php?workbook=10_02.xlsx&amp;sheet=A0&amp;row=837&amp;col=9&amp;number=0.0001902&amp;sourceID=32","0.0001902")</f>
        <v>0.0001902</v>
      </c>
      <c r="J837" s="4" t="str">
        <f>HYPERLINK("http://141.218.60.56/~jnz1568/getInfo.php?workbook=10_02.xlsx&amp;sheet=A0&amp;row=837&amp;col=10&amp;number=&amp;sourceID=32","")</f>
        <v/>
      </c>
      <c r="K837" s="4" t="str">
        <f>HYPERLINK("http://141.218.60.56/~jnz1568/getInfo.php?workbook=10_02.xlsx&amp;sheet=A0&amp;row=837&amp;col=11&amp;number=1993.7&amp;sourceID=46","1993.7")</f>
        <v>1993.7</v>
      </c>
      <c r="L837" s="4" t="str">
        <f>HYPERLINK("http://141.218.60.56/~jnz1568/getInfo.php?workbook=10_02.xlsx&amp;sheet=A0&amp;row=837&amp;col=12&amp;number=&amp;sourceID=47","")</f>
        <v/>
      </c>
    </row>
    <row r="838" spans="1:12">
      <c r="A838" s="3">
        <v>10</v>
      </c>
      <c r="B838" s="3">
        <v>2</v>
      </c>
      <c r="C838" s="3">
        <v>46</v>
      </c>
      <c r="D838" s="3">
        <v>30</v>
      </c>
      <c r="E838" s="3"/>
      <c r="F838" s="4" t="str">
        <f>HYPERLINK("http://141.218.60.56/~jnz1568/getInfo.php?workbook=10_02.xlsx&amp;sheet=A0&amp;row=838&amp;col=6&amp;number=&amp;sourceID=27","")</f>
        <v/>
      </c>
      <c r="G838" s="4" t="str">
        <f>HYPERLINK("http://141.218.60.56/~jnz1568/getInfo.php?workbook=10_02.xlsx&amp;sheet=A0&amp;row=838&amp;col=7&amp;number=921400000&amp;sourceID=32","921400000")</f>
        <v>921400000</v>
      </c>
      <c r="H838" s="4" t="str">
        <f>HYPERLINK("http://141.218.60.56/~jnz1568/getInfo.php?workbook=10_02.xlsx&amp;sheet=A0&amp;row=838&amp;col=8&amp;number=&amp;sourceID=32","")</f>
        <v/>
      </c>
      <c r="I838" s="4" t="str">
        <f>HYPERLINK("http://141.218.60.56/~jnz1568/getInfo.php?workbook=10_02.xlsx&amp;sheet=A0&amp;row=838&amp;col=9&amp;number=&amp;sourceID=32","")</f>
        <v/>
      </c>
      <c r="J838" s="4" t="str">
        <f>HYPERLINK("http://141.218.60.56/~jnz1568/getInfo.php?workbook=10_02.xlsx&amp;sheet=A0&amp;row=838&amp;col=10&amp;number=0.0003375&amp;sourceID=32","0.0003375")</f>
        <v>0.0003375</v>
      </c>
      <c r="K838" s="4" t="str">
        <f>HYPERLINK("http://141.218.60.56/~jnz1568/getInfo.php?workbook=10_02.xlsx&amp;sheet=A0&amp;row=838&amp;col=11&amp;number=890380000&amp;sourceID=46","890380000")</f>
        <v>890380000</v>
      </c>
      <c r="L838" s="4" t="str">
        <f>HYPERLINK("http://141.218.60.56/~jnz1568/getInfo.php?workbook=10_02.xlsx&amp;sheet=A0&amp;row=838&amp;col=12&amp;number=&amp;sourceID=47","")</f>
        <v/>
      </c>
    </row>
    <row r="839" spans="1:12">
      <c r="A839" s="3">
        <v>10</v>
      </c>
      <c r="B839" s="3">
        <v>2</v>
      </c>
      <c r="C839" s="3">
        <v>46</v>
      </c>
      <c r="D839" s="3">
        <v>31</v>
      </c>
      <c r="E839" s="3"/>
      <c r="F839" s="4" t="str">
        <f>HYPERLINK("http://141.218.60.56/~jnz1568/getInfo.php?workbook=10_02.xlsx&amp;sheet=A0&amp;row=839&amp;col=6&amp;number=&amp;sourceID=27","")</f>
        <v/>
      </c>
      <c r="G839" s="4" t="str">
        <f>HYPERLINK("http://141.218.60.56/~jnz1568/getInfo.php?workbook=10_02.xlsx&amp;sheet=A0&amp;row=839&amp;col=7&amp;number=&amp;sourceID=32","")</f>
        <v/>
      </c>
      <c r="H839" s="4" t="str">
        <f>HYPERLINK("http://141.218.60.56/~jnz1568/getInfo.php?workbook=10_02.xlsx&amp;sheet=A0&amp;row=839&amp;col=8&amp;number=&amp;sourceID=32","")</f>
        <v/>
      </c>
      <c r="I839" s="4" t="str">
        <f>HYPERLINK("http://141.218.60.56/~jnz1568/getInfo.php?workbook=10_02.xlsx&amp;sheet=A0&amp;row=839&amp;col=9&amp;number=&amp;sourceID=32","")</f>
        <v/>
      </c>
      <c r="J839" s="4" t="str">
        <f>HYPERLINK("http://141.218.60.56/~jnz1568/getInfo.php?workbook=10_02.xlsx&amp;sheet=A0&amp;row=839&amp;col=10&amp;number=3.745e-09&amp;sourceID=32","3.745e-09")</f>
        <v>3.745e-09</v>
      </c>
      <c r="K839" s="4" t="str">
        <f>HYPERLINK("http://141.218.60.56/~jnz1568/getInfo.php?workbook=10_02.xlsx&amp;sheet=A0&amp;row=839&amp;col=11&amp;number=&amp;sourceID=46","")</f>
        <v/>
      </c>
      <c r="L839" s="4" t="str">
        <f>HYPERLINK("http://141.218.60.56/~jnz1568/getInfo.php?workbook=10_02.xlsx&amp;sheet=A0&amp;row=839&amp;col=12&amp;number=&amp;sourceID=47","")</f>
        <v/>
      </c>
    </row>
    <row r="840" spans="1:12">
      <c r="A840" s="3">
        <v>10</v>
      </c>
      <c r="B840" s="3">
        <v>2</v>
      </c>
      <c r="C840" s="3">
        <v>46</v>
      </c>
      <c r="D840" s="3">
        <v>32</v>
      </c>
      <c r="E840" s="3"/>
      <c r="F840" s="4" t="str">
        <f>HYPERLINK("http://141.218.60.56/~jnz1568/getInfo.php?workbook=10_02.xlsx&amp;sheet=A0&amp;row=840&amp;col=6&amp;number=&amp;sourceID=27","")</f>
        <v/>
      </c>
      <c r="G840" s="4" t="str">
        <f>HYPERLINK("http://141.218.60.56/~jnz1568/getInfo.php?workbook=10_02.xlsx&amp;sheet=A0&amp;row=840&amp;col=7&amp;number=&amp;sourceID=32","")</f>
        <v/>
      </c>
      <c r="H840" s="4" t="str">
        <f>HYPERLINK("http://141.218.60.56/~jnz1568/getInfo.php?workbook=10_02.xlsx&amp;sheet=A0&amp;row=840&amp;col=8&amp;number=3.153e-09&amp;sourceID=32","3.153e-09")</f>
        <v>3.153e-09</v>
      </c>
      <c r="I840" s="4" t="str">
        <f>HYPERLINK("http://141.218.60.56/~jnz1568/getInfo.php?workbook=10_02.xlsx&amp;sheet=A0&amp;row=840&amp;col=9&amp;number=&amp;sourceID=32","")</f>
        <v/>
      </c>
      <c r="J840" s="4" t="str">
        <f>HYPERLINK("http://141.218.60.56/~jnz1568/getInfo.php?workbook=10_02.xlsx&amp;sheet=A0&amp;row=840&amp;col=10&amp;number=&amp;sourceID=32","")</f>
        <v/>
      </c>
      <c r="K840" s="4" t="str">
        <f>HYPERLINK("http://141.218.60.56/~jnz1568/getInfo.php?workbook=10_02.xlsx&amp;sheet=A0&amp;row=840&amp;col=11&amp;number=&amp;sourceID=46","")</f>
        <v/>
      </c>
      <c r="L840" s="4" t="str">
        <f>HYPERLINK("http://141.218.60.56/~jnz1568/getInfo.php?workbook=10_02.xlsx&amp;sheet=A0&amp;row=840&amp;col=12&amp;number=&amp;sourceID=47","")</f>
        <v/>
      </c>
    </row>
    <row r="841" spans="1:12">
      <c r="A841" s="3">
        <v>10</v>
      </c>
      <c r="B841" s="3">
        <v>2</v>
      </c>
      <c r="C841" s="3">
        <v>46</v>
      </c>
      <c r="D841" s="3">
        <v>35</v>
      </c>
      <c r="E841" s="3"/>
      <c r="F841" s="4" t="str">
        <f>HYPERLINK("http://141.218.60.56/~jnz1568/getInfo.php?workbook=10_02.xlsx&amp;sheet=A0&amp;row=841&amp;col=6&amp;number=&amp;sourceID=27","")</f>
        <v/>
      </c>
      <c r="G841" s="4" t="str">
        <f>HYPERLINK("http://141.218.60.56/~jnz1568/getInfo.php?workbook=10_02.xlsx&amp;sheet=A0&amp;row=841&amp;col=7&amp;number=&amp;sourceID=32","")</f>
        <v/>
      </c>
      <c r="H841" s="4" t="str">
        <f>HYPERLINK("http://141.218.60.56/~jnz1568/getInfo.php?workbook=10_02.xlsx&amp;sheet=A0&amp;row=841&amp;col=8&amp;number=&amp;sourceID=32","")</f>
        <v/>
      </c>
      <c r="I841" s="4" t="str">
        <f>HYPERLINK("http://141.218.60.56/~jnz1568/getInfo.php?workbook=10_02.xlsx&amp;sheet=A0&amp;row=841&amp;col=9&amp;number=&amp;sourceID=32","")</f>
        <v/>
      </c>
      <c r="J841" s="4" t="str">
        <f>HYPERLINK("http://141.218.60.56/~jnz1568/getInfo.php?workbook=10_02.xlsx&amp;sheet=A0&amp;row=841&amp;col=10&amp;number=0&amp;sourceID=32","0")</f>
        <v>0</v>
      </c>
      <c r="K841" s="4" t="str">
        <f>HYPERLINK("http://141.218.60.56/~jnz1568/getInfo.php?workbook=10_02.xlsx&amp;sheet=A0&amp;row=841&amp;col=11&amp;number=&amp;sourceID=46","")</f>
        <v/>
      </c>
      <c r="L841" s="4" t="str">
        <f>HYPERLINK("http://141.218.60.56/~jnz1568/getInfo.php?workbook=10_02.xlsx&amp;sheet=A0&amp;row=841&amp;col=12&amp;number=&amp;sourceID=47","")</f>
        <v/>
      </c>
    </row>
    <row r="842" spans="1:12">
      <c r="A842" s="3">
        <v>10</v>
      </c>
      <c r="B842" s="3">
        <v>2</v>
      </c>
      <c r="C842" s="3">
        <v>46</v>
      </c>
      <c r="D842" s="3">
        <v>36</v>
      </c>
      <c r="E842" s="3"/>
      <c r="F842" s="4" t="str">
        <f>HYPERLINK("http://141.218.60.56/~jnz1568/getInfo.php?workbook=10_02.xlsx&amp;sheet=A0&amp;row=842&amp;col=6&amp;number=&amp;sourceID=27","")</f>
        <v/>
      </c>
      <c r="G842" s="4" t="str">
        <f>HYPERLINK("http://141.218.60.56/~jnz1568/getInfo.php?workbook=10_02.xlsx&amp;sheet=A0&amp;row=842&amp;col=7&amp;number=0.0002257&amp;sourceID=32","0.0002257")</f>
        <v>0.0002257</v>
      </c>
      <c r="H842" s="4" t="str">
        <f>HYPERLINK("http://141.218.60.56/~jnz1568/getInfo.php?workbook=10_02.xlsx&amp;sheet=A0&amp;row=842&amp;col=8&amp;number=&amp;sourceID=32","")</f>
        <v/>
      </c>
      <c r="I842" s="4" t="str">
        <f>HYPERLINK("http://141.218.60.56/~jnz1568/getInfo.php?workbook=10_02.xlsx&amp;sheet=A0&amp;row=842&amp;col=9&amp;number=&amp;sourceID=32","")</f>
        <v/>
      </c>
      <c r="J842" s="4" t="str">
        <f>HYPERLINK("http://141.218.60.56/~jnz1568/getInfo.php?workbook=10_02.xlsx&amp;sheet=A0&amp;row=842&amp;col=10&amp;number=0&amp;sourceID=32","0")</f>
        <v>0</v>
      </c>
      <c r="K842" s="4" t="str">
        <f>HYPERLINK("http://141.218.60.56/~jnz1568/getInfo.php?workbook=10_02.xlsx&amp;sheet=A0&amp;row=842&amp;col=11&amp;number=&amp;sourceID=46","")</f>
        <v/>
      </c>
      <c r="L842" s="4" t="str">
        <f>HYPERLINK("http://141.218.60.56/~jnz1568/getInfo.php?workbook=10_02.xlsx&amp;sheet=A0&amp;row=842&amp;col=12&amp;number=&amp;sourceID=47","")</f>
        <v/>
      </c>
    </row>
    <row r="843" spans="1:12">
      <c r="A843" s="3">
        <v>10</v>
      </c>
      <c r="B843" s="3">
        <v>2</v>
      </c>
      <c r="C843" s="3">
        <v>46</v>
      </c>
      <c r="D843" s="3">
        <v>37</v>
      </c>
      <c r="E843" s="3"/>
      <c r="F843" s="4" t="str">
        <f>HYPERLINK("http://141.218.60.56/~jnz1568/getInfo.php?workbook=10_02.xlsx&amp;sheet=A0&amp;row=843&amp;col=6&amp;number=&amp;sourceID=27","")</f>
        <v/>
      </c>
      <c r="G843" s="4" t="str">
        <f>HYPERLINK("http://141.218.60.56/~jnz1568/getInfo.php?workbook=10_02.xlsx&amp;sheet=A0&amp;row=843&amp;col=7&amp;number=&amp;sourceID=32","")</f>
        <v/>
      </c>
      <c r="H843" s="4" t="str">
        <f>HYPERLINK("http://141.218.60.56/~jnz1568/getInfo.php?workbook=10_02.xlsx&amp;sheet=A0&amp;row=843&amp;col=8&amp;number=1.293e-09&amp;sourceID=32","1.293e-09")</f>
        <v>1.293e-09</v>
      </c>
      <c r="I843" s="4" t="str">
        <f>HYPERLINK("http://141.218.60.56/~jnz1568/getInfo.php?workbook=10_02.xlsx&amp;sheet=A0&amp;row=843&amp;col=9&amp;number=&amp;sourceID=32","")</f>
        <v/>
      </c>
      <c r="J843" s="4" t="str">
        <f>HYPERLINK("http://141.218.60.56/~jnz1568/getInfo.php?workbook=10_02.xlsx&amp;sheet=A0&amp;row=843&amp;col=10&amp;number=&amp;sourceID=32","")</f>
        <v/>
      </c>
      <c r="K843" s="4" t="str">
        <f>HYPERLINK("http://141.218.60.56/~jnz1568/getInfo.php?workbook=10_02.xlsx&amp;sheet=A0&amp;row=843&amp;col=11&amp;number=&amp;sourceID=46","")</f>
        <v/>
      </c>
      <c r="L843" s="4" t="str">
        <f>HYPERLINK("http://141.218.60.56/~jnz1568/getInfo.php?workbook=10_02.xlsx&amp;sheet=A0&amp;row=843&amp;col=12&amp;number=&amp;sourceID=47","")</f>
        <v/>
      </c>
    </row>
    <row r="844" spans="1:12">
      <c r="A844" s="3">
        <v>10</v>
      </c>
      <c r="B844" s="3">
        <v>2</v>
      </c>
      <c r="C844" s="3">
        <v>46</v>
      </c>
      <c r="D844" s="3">
        <v>38</v>
      </c>
      <c r="E844" s="3"/>
      <c r="F844" s="4" t="str">
        <f>HYPERLINK("http://141.218.60.56/~jnz1568/getInfo.php?workbook=10_02.xlsx&amp;sheet=A0&amp;row=844&amp;col=6&amp;number=&amp;sourceID=27","")</f>
        <v/>
      </c>
      <c r="G844" s="4" t="str">
        <f>HYPERLINK("http://141.218.60.56/~jnz1568/getInfo.php?workbook=10_02.xlsx&amp;sheet=A0&amp;row=844&amp;col=7&amp;number=&amp;sourceID=32","")</f>
        <v/>
      </c>
      <c r="H844" s="4" t="str">
        <f>HYPERLINK("http://141.218.60.56/~jnz1568/getInfo.php?workbook=10_02.xlsx&amp;sheet=A0&amp;row=844&amp;col=8&amp;number=3.014e-10&amp;sourceID=32","3.014e-10")</f>
        <v>3.014e-10</v>
      </c>
      <c r="I844" s="4" t="str">
        <f>HYPERLINK("http://141.218.60.56/~jnz1568/getInfo.php?workbook=10_02.xlsx&amp;sheet=A0&amp;row=844&amp;col=9&amp;number=1.6e-14&amp;sourceID=32","1.6e-14")</f>
        <v>1.6e-14</v>
      </c>
      <c r="J844" s="4" t="str">
        <f>HYPERLINK("http://141.218.60.56/~jnz1568/getInfo.php?workbook=10_02.xlsx&amp;sheet=A0&amp;row=844&amp;col=10&amp;number=&amp;sourceID=32","")</f>
        <v/>
      </c>
      <c r="K844" s="4" t="str">
        <f>HYPERLINK("http://141.218.60.56/~jnz1568/getInfo.php?workbook=10_02.xlsx&amp;sheet=A0&amp;row=844&amp;col=11&amp;number=&amp;sourceID=46","")</f>
        <v/>
      </c>
      <c r="L844" s="4" t="str">
        <f>HYPERLINK("http://141.218.60.56/~jnz1568/getInfo.php?workbook=10_02.xlsx&amp;sheet=A0&amp;row=844&amp;col=12&amp;number=&amp;sourceID=47","")</f>
        <v/>
      </c>
    </row>
    <row r="845" spans="1:12">
      <c r="A845" s="3">
        <v>10</v>
      </c>
      <c r="B845" s="3">
        <v>2</v>
      </c>
      <c r="C845" s="3">
        <v>46</v>
      </c>
      <c r="D845" s="3">
        <v>39</v>
      </c>
      <c r="E845" s="3"/>
      <c r="F845" s="4" t="str">
        <f>HYPERLINK("http://141.218.60.56/~jnz1568/getInfo.php?workbook=10_02.xlsx&amp;sheet=A0&amp;row=845&amp;col=6&amp;number=&amp;sourceID=27","")</f>
        <v/>
      </c>
      <c r="G845" s="4" t="str">
        <f>HYPERLINK("http://141.218.60.56/~jnz1568/getInfo.php?workbook=10_02.xlsx&amp;sheet=A0&amp;row=845&amp;col=7&amp;number=&amp;sourceID=32","")</f>
        <v/>
      </c>
      <c r="H845" s="4" t="str">
        <f>HYPERLINK("http://141.218.60.56/~jnz1568/getInfo.php?workbook=10_02.xlsx&amp;sheet=A0&amp;row=845&amp;col=8&amp;number=9.554e-12&amp;sourceID=32","9.554e-12")</f>
        <v>9.554e-12</v>
      </c>
      <c r="I845" s="4" t="str">
        <f>HYPERLINK("http://141.218.60.56/~jnz1568/getInfo.php?workbook=10_02.xlsx&amp;sheet=A0&amp;row=845&amp;col=9&amp;number=1.09e-13&amp;sourceID=32","1.09e-13")</f>
        <v>1.09e-13</v>
      </c>
      <c r="J845" s="4" t="str">
        <f>HYPERLINK("http://141.218.60.56/~jnz1568/getInfo.php?workbook=10_02.xlsx&amp;sheet=A0&amp;row=845&amp;col=10&amp;number=&amp;sourceID=32","")</f>
        <v/>
      </c>
      <c r="K845" s="4" t="str">
        <f>HYPERLINK("http://141.218.60.56/~jnz1568/getInfo.php?workbook=10_02.xlsx&amp;sheet=A0&amp;row=845&amp;col=11&amp;number=&amp;sourceID=46","")</f>
        <v/>
      </c>
      <c r="L845" s="4" t="str">
        <f>HYPERLINK("http://141.218.60.56/~jnz1568/getInfo.php?workbook=10_02.xlsx&amp;sheet=A0&amp;row=845&amp;col=12&amp;number=&amp;sourceID=47","")</f>
        <v/>
      </c>
    </row>
    <row r="846" spans="1:12">
      <c r="A846" s="3">
        <v>10</v>
      </c>
      <c r="B846" s="3">
        <v>2</v>
      </c>
      <c r="C846" s="3">
        <v>47</v>
      </c>
      <c r="D846" s="3">
        <v>5</v>
      </c>
      <c r="E846" s="3"/>
      <c r="F846" s="4" t="str">
        <f>HYPERLINK("http://141.218.60.56/~jnz1568/getInfo.php?workbook=10_02.xlsx&amp;sheet=A0&amp;row=846&amp;col=6&amp;number=&amp;sourceID=27","")</f>
        <v/>
      </c>
      <c r="G846" s="4" t="str">
        <f>HYPERLINK("http://141.218.60.56/~jnz1568/getInfo.php?workbook=10_02.xlsx&amp;sheet=A0&amp;row=846&amp;col=7&amp;number=&amp;sourceID=32","")</f>
        <v/>
      </c>
      <c r="H846" s="4" t="str">
        <f>HYPERLINK("http://141.218.60.56/~jnz1568/getInfo.php?workbook=10_02.xlsx&amp;sheet=A0&amp;row=846&amp;col=8&amp;number=&amp;sourceID=32","")</f>
        <v/>
      </c>
      <c r="I846" s="4" t="str">
        <f>HYPERLINK("http://141.218.60.56/~jnz1568/getInfo.php?workbook=10_02.xlsx&amp;sheet=A0&amp;row=846&amp;col=9&amp;number=&amp;sourceID=32","")</f>
        <v/>
      </c>
      <c r="J846" s="4" t="str">
        <f>HYPERLINK("http://141.218.60.56/~jnz1568/getInfo.php?workbook=10_02.xlsx&amp;sheet=A0&amp;row=846&amp;col=10&amp;number=&amp;sourceID=32","")</f>
        <v/>
      </c>
      <c r="K846" s="4" t="str">
        <f>HYPERLINK("http://141.218.60.56/~jnz1568/getInfo.php?workbook=10_02.xlsx&amp;sheet=A0&amp;row=846&amp;col=11&amp;number=1387.1&amp;sourceID=46","1387.1")</f>
        <v>1387.1</v>
      </c>
      <c r="L846" s="4" t="str">
        <f>HYPERLINK("http://141.218.60.56/~jnz1568/getInfo.php?workbook=10_02.xlsx&amp;sheet=A0&amp;row=846&amp;col=12&amp;number=&amp;sourceID=47","")</f>
        <v/>
      </c>
    </row>
    <row r="847" spans="1:12">
      <c r="A847" s="3">
        <v>10</v>
      </c>
      <c r="B847" s="3">
        <v>2</v>
      </c>
      <c r="C847" s="3">
        <v>47</v>
      </c>
      <c r="D847" s="3">
        <v>12</v>
      </c>
      <c r="E847" s="3"/>
      <c r="F847" s="4" t="str">
        <f>HYPERLINK("http://141.218.60.56/~jnz1568/getInfo.php?workbook=10_02.xlsx&amp;sheet=A0&amp;row=847&amp;col=6&amp;number=&amp;sourceID=27","")</f>
        <v/>
      </c>
      <c r="G847" s="4" t="str">
        <f>HYPERLINK("http://141.218.60.56/~jnz1568/getInfo.php?workbook=10_02.xlsx&amp;sheet=A0&amp;row=847&amp;col=7&amp;number=&amp;sourceID=32","")</f>
        <v/>
      </c>
      <c r="H847" s="4" t="str">
        <f>HYPERLINK("http://141.218.60.56/~jnz1568/getInfo.php?workbook=10_02.xlsx&amp;sheet=A0&amp;row=847&amp;col=8&amp;number=&amp;sourceID=32","")</f>
        <v/>
      </c>
      <c r="I847" s="4" t="str">
        <f>HYPERLINK("http://141.218.60.56/~jnz1568/getInfo.php?workbook=10_02.xlsx&amp;sheet=A0&amp;row=847&amp;col=9&amp;number=&amp;sourceID=32","")</f>
        <v/>
      </c>
      <c r="J847" s="4" t="str">
        <f>HYPERLINK("http://141.218.60.56/~jnz1568/getInfo.php?workbook=10_02.xlsx&amp;sheet=A0&amp;row=847&amp;col=10&amp;number=&amp;sourceID=32","")</f>
        <v/>
      </c>
      <c r="K847" s="4" t="str">
        <f>HYPERLINK("http://141.218.60.56/~jnz1568/getInfo.php?workbook=10_02.xlsx&amp;sheet=A0&amp;row=847&amp;col=11&amp;number=639.65&amp;sourceID=46","639.65")</f>
        <v>639.65</v>
      </c>
      <c r="L847" s="4" t="str">
        <f>HYPERLINK("http://141.218.60.56/~jnz1568/getInfo.php?workbook=10_02.xlsx&amp;sheet=A0&amp;row=847&amp;col=12&amp;number=&amp;sourceID=47","")</f>
        <v/>
      </c>
    </row>
    <row r="848" spans="1:12">
      <c r="A848" s="3">
        <v>10</v>
      </c>
      <c r="B848" s="3">
        <v>2</v>
      </c>
      <c r="C848" s="3">
        <v>47</v>
      </c>
      <c r="D848" s="3">
        <v>15</v>
      </c>
      <c r="E848" s="3"/>
      <c r="F848" s="4" t="str">
        <f>HYPERLINK("http://141.218.60.56/~jnz1568/getInfo.php?workbook=10_02.xlsx&amp;sheet=A0&amp;row=848&amp;col=6&amp;number=&amp;sourceID=27","")</f>
        <v/>
      </c>
      <c r="G848" s="4" t="str">
        <f>HYPERLINK("http://141.218.60.56/~jnz1568/getInfo.php?workbook=10_02.xlsx&amp;sheet=A0&amp;row=848&amp;col=7&amp;number=&amp;sourceID=32","")</f>
        <v/>
      </c>
      <c r="H848" s="4" t="str">
        <f>HYPERLINK("http://141.218.60.56/~jnz1568/getInfo.php?workbook=10_02.xlsx&amp;sheet=A0&amp;row=848&amp;col=8&amp;number=&amp;sourceID=32","")</f>
        <v/>
      </c>
      <c r="I848" s="4" t="str">
        <f>HYPERLINK("http://141.218.60.56/~jnz1568/getInfo.php?workbook=10_02.xlsx&amp;sheet=A0&amp;row=848&amp;col=9&amp;number=&amp;sourceID=32","")</f>
        <v/>
      </c>
      <c r="J848" s="4" t="str">
        <f>HYPERLINK("http://141.218.60.56/~jnz1568/getInfo.php?workbook=10_02.xlsx&amp;sheet=A0&amp;row=848&amp;col=10&amp;number=&amp;sourceID=32","")</f>
        <v/>
      </c>
      <c r="K848" s="4" t="str">
        <f>HYPERLINK("http://141.218.60.56/~jnz1568/getInfo.php?workbook=10_02.xlsx&amp;sheet=A0&amp;row=848&amp;col=11&amp;number=6170100&amp;sourceID=46","6170100")</f>
        <v>6170100</v>
      </c>
      <c r="L848" s="4" t="str">
        <f>HYPERLINK("http://141.218.60.56/~jnz1568/getInfo.php?workbook=10_02.xlsx&amp;sheet=A0&amp;row=848&amp;col=12&amp;number=&amp;sourceID=47","")</f>
        <v/>
      </c>
    </row>
    <row r="849" spans="1:12">
      <c r="A849" s="3">
        <v>10</v>
      </c>
      <c r="B849" s="3">
        <v>2</v>
      </c>
      <c r="C849" s="3">
        <v>47</v>
      </c>
      <c r="D849" s="3">
        <v>21</v>
      </c>
      <c r="E849" s="3"/>
      <c r="F849" s="4" t="str">
        <f>HYPERLINK("http://141.218.60.56/~jnz1568/getInfo.php?workbook=10_02.xlsx&amp;sheet=A0&amp;row=849&amp;col=6&amp;number=&amp;sourceID=27","")</f>
        <v/>
      </c>
      <c r="G849" s="4" t="str">
        <f>HYPERLINK("http://141.218.60.56/~jnz1568/getInfo.php?workbook=10_02.xlsx&amp;sheet=A0&amp;row=849&amp;col=7&amp;number=&amp;sourceID=32","")</f>
        <v/>
      </c>
      <c r="H849" s="4" t="str">
        <f>HYPERLINK("http://141.218.60.56/~jnz1568/getInfo.php?workbook=10_02.xlsx&amp;sheet=A0&amp;row=849&amp;col=8&amp;number=&amp;sourceID=32","")</f>
        <v/>
      </c>
      <c r="I849" s="4" t="str">
        <f>HYPERLINK("http://141.218.60.56/~jnz1568/getInfo.php?workbook=10_02.xlsx&amp;sheet=A0&amp;row=849&amp;col=9&amp;number=&amp;sourceID=32","")</f>
        <v/>
      </c>
      <c r="J849" s="4" t="str">
        <f>HYPERLINK("http://141.218.60.56/~jnz1568/getInfo.php?workbook=10_02.xlsx&amp;sheet=A0&amp;row=849&amp;col=10&amp;number=&amp;sourceID=32","")</f>
        <v/>
      </c>
      <c r="K849" s="4" t="str">
        <f>HYPERLINK("http://141.218.60.56/~jnz1568/getInfo.php?workbook=10_02.xlsx&amp;sheet=A0&amp;row=849&amp;col=11&amp;number=6.4811&amp;sourceID=46","6.4811")</f>
        <v>6.4811</v>
      </c>
      <c r="L849" s="4" t="str">
        <f>HYPERLINK("http://141.218.60.56/~jnz1568/getInfo.php?workbook=10_02.xlsx&amp;sheet=A0&amp;row=849&amp;col=12&amp;number=&amp;sourceID=47","")</f>
        <v/>
      </c>
    </row>
    <row r="850" spans="1:12">
      <c r="A850" s="3">
        <v>10</v>
      </c>
      <c r="B850" s="3">
        <v>2</v>
      </c>
      <c r="C850" s="3">
        <v>47</v>
      </c>
      <c r="D850" s="3">
        <v>25</v>
      </c>
      <c r="E850" s="3"/>
      <c r="F850" s="4" t="str">
        <f>HYPERLINK("http://141.218.60.56/~jnz1568/getInfo.php?workbook=10_02.xlsx&amp;sheet=A0&amp;row=850&amp;col=6&amp;number=&amp;sourceID=27","")</f>
        <v/>
      </c>
      <c r="G850" s="4" t="str">
        <f>HYPERLINK("http://141.218.60.56/~jnz1568/getInfo.php?workbook=10_02.xlsx&amp;sheet=A0&amp;row=850&amp;col=7&amp;number=&amp;sourceID=32","")</f>
        <v/>
      </c>
      <c r="H850" s="4" t="str">
        <f>HYPERLINK("http://141.218.60.56/~jnz1568/getInfo.php?workbook=10_02.xlsx&amp;sheet=A0&amp;row=850&amp;col=8&amp;number=&amp;sourceID=32","")</f>
        <v/>
      </c>
      <c r="I850" s="4" t="str">
        <f>HYPERLINK("http://141.218.60.56/~jnz1568/getInfo.php?workbook=10_02.xlsx&amp;sheet=A0&amp;row=850&amp;col=9&amp;number=&amp;sourceID=32","")</f>
        <v/>
      </c>
      <c r="J850" s="4" t="str">
        <f>HYPERLINK("http://141.218.60.56/~jnz1568/getInfo.php?workbook=10_02.xlsx&amp;sheet=A0&amp;row=850&amp;col=10&amp;number=&amp;sourceID=32","")</f>
        <v/>
      </c>
      <c r="K850" s="4" t="str">
        <f>HYPERLINK("http://141.218.60.56/~jnz1568/getInfo.php?workbook=10_02.xlsx&amp;sheet=A0&amp;row=850&amp;col=11&amp;number=534490&amp;sourceID=46","534490")</f>
        <v>534490</v>
      </c>
      <c r="L850" s="4" t="str">
        <f>HYPERLINK("http://141.218.60.56/~jnz1568/getInfo.php?workbook=10_02.xlsx&amp;sheet=A0&amp;row=850&amp;col=12&amp;number=&amp;sourceID=47","")</f>
        <v/>
      </c>
    </row>
    <row r="851" spans="1:12">
      <c r="A851" s="3">
        <v>10</v>
      </c>
      <c r="B851" s="3">
        <v>2</v>
      </c>
      <c r="C851" s="3">
        <v>47</v>
      </c>
      <c r="D851" s="3">
        <v>27</v>
      </c>
      <c r="E851" s="3"/>
      <c r="F851" s="4" t="str">
        <f>HYPERLINK("http://141.218.60.56/~jnz1568/getInfo.php?workbook=10_02.xlsx&amp;sheet=A0&amp;row=851&amp;col=6&amp;number=&amp;sourceID=27","")</f>
        <v/>
      </c>
      <c r="G851" s="4" t="str">
        <f>HYPERLINK("http://141.218.60.56/~jnz1568/getInfo.php?workbook=10_02.xlsx&amp;sheet=A0&amp;row=851&amp;col=7&amp;number=&amp;sourceID=32","")</f>
        <v/>
      </c>
      <c r="H851" s="4" t="str">
        <f>HYPERLINK("http://141.218.60.56/~jnz1568/getInfo.php?workbook=10_02.xlsx&amp;sheet=A0&amp;row=851&amp;col=8&amp;number=&amp;sourceID=32","")</f>
        <v/>
      </c>
      <c r="I851" s="4" t="str">
        <f>HYPERLINK("http://141.218.60.56/~jnz1568/getInfo.php?workbook=10_02.xlsx&amp;sheet=A0&amp;row=851&amp;col=9&amp;number=&amp;sourceID=32","")</f>
        <v/>
      </c>
      <c r="J851" s="4" t="str">
        <f>HYPERLINK("http://141.218.60.56/~jnz1568/getInfo.php?workbook=10_02.xlsx&amp;sheet=A0&amp;row=851&amp;col=10&amp;number=&amp;sourceID=32","")</f>
        <v/>
      </c>
      <c r="K851" s="4" t="str">
        <f>HYPERLINK("http://141.218.60.56/~jnz1568/getInfo.php?workbook=10_02.xlsx&amp;sheet=A0&amp;row=851&amp;col=11&amp;number=3.8541&amp;sourceID=46","3.8541")</f>
        <v>3.8541</v>
      </c>
      <c r="L851" s="4" t="str">
        <f>HYPERLINK("http://141.218.60.56/~jnz1568/getInfo.php?workbook=10_02.xlsx&amp;sheet=A0&amp;row=851&amp;col=12&amp;number=&amp;sourceID=47","")</f>
        <v/>
      </c>
    </row>
    <row r="852" spans="1:12">
      <c r="A852" s="3">
        <v>10</v>
      </c>
      <c r="B852" s="3">
        <v>2</v>
      </c>
      <c r="C852" s="3">
        <v>47</v>
      </c>
      <c r="D852" s="3">
        <v>28</v>
      </c>
      <c r="E852" s="3"/>
      <c r="F852" s="4" t="str">
        <f>HYPERLINK("http://141.218.60.56/~jnz1568/getInfo.php?workbook=10_02.xlsx&amp;sheet=A0&amp;row=852&amp;col=6&amp;number=&amp;sourceID=27","")</f>
        <v/>
      </c>
      <c r="G852" s="4" t="str">
        <f>HYPERLINK("http://141.218.60.56/~jnz1568/getInfo.php?workbook=10_02.xlsx&amp;sheet=A0&amp;row=852&amp;col=7&amp;number=&amp;sourceID=32","")</f>
        <v/>
      </c>
      <c r="H852" s="4" t="str">
        <f>HYPERLINK("http://141.218.60.56/~jnz1568/getInfo.php?workbook=10_02.xlsx&amp;sheet=A0&amp;row=852&amp;col=8&amp;number=&amp;sourceID=32","")</f>
        <v/>
      </c>
      <c r="I852" s="4" t="str">
        <f>HYPERLINK("http://141.218.60.56/~jnz1568/getInfo.php?workbook=10_02.xlsx&amp;sheet=A0&amp;row=852&amp;col=9&amp;number=&amp;sourceID=32","")</f>
        <v/>
      </c>
      <c r="J852" s="4" t="str">
        <f>HYPERLINK("http://141.218.60.56/~jnz1568/getInfo.php?workbook=10_02.xlsx&amp;sheet=A0&amp;row=852&amp;col=10&amp;number=&amp;sourceID=32","")</f>
        <v/>
      </c>
      <c r="K852" s="4" t="str">
        <f>HYPERLINK("http://141.218.60.56/~jnz1568/getInfo.php?workbook=10_02.xlsx&amp;sheet=A0&amp;row=852&amp;col=11&amp;number=27927000000&amp;sourceID=46","27927000000")</f>
        <v>27927000000</v>
      </c>
      <c r="L852" s="4" t="str">
        <f>HYPERLINK("http://141.218.60.56/~jnz1568/getInfo.php?workbook=10_02.xlsx&amp;sheet=A0&amp;row=852&amp;col=12&amp;number=&amp;sourceID=47","")</f>
        <v/>
      </c>
    </row>
    <row r="853" spans="1:12">
      <c r="A853" s="3">
        <v>10</v>
      </c>
      <c r="B853" s="3">
        <v>2</v>
      </c>
      <c r="C853" s="3">
        <v>47</v>
      </c>
      <c r="D853" s="3">
        <v>30</v>
      </c>
      <c r="E853" s="3"/>
      <c r="F853" s="4" t="str">
        <f>HYPERLINK("http://141.218.60.56/~jnz1568/getInfo.php?workbook=10_02.xlsx&amp;sheet=A0&amp;row=853&amp;col=6&amp;number=&amp;sourceID=27","")</f>
        <v/>
      </c>
      <c r="G853" s="4" t="str">
        <f>HYPERLINK("http://141.218.60.56/~jnz1568/getInfo.php?workbook=10_02.xlsx&amp;sheet=A0&amp;row=853&amp;col=7&amp;number=&amp;sourceID=32","")</f>
        <v/>
      </c>
      <c r="H853" s="4" t="str">
        <f>HYPERLINK("http://141.218.60.56/~jnz1568/getInfo.php?workbook=10_02.xlsx&amp;sheet=A0&amp;row=853&amp;col=8&amp;number=&amp;sourceID=32","")</f>
        <v/>
      </c>
      <c r="I853" s="4" t="str">
        <f>HYPERLINK("http://141.218.60.56/~jnz1568/getInfo.php?workbook=10_02.xlsx&amp;sheet=A0&amp;row=853&amp;col=9&amp;number=&amp;sourceID=32","")</f>
        <v/>
      </c>
      <c r="J853" s="4" t="str">
        <f>HYPERLINK("http://141.218.60.56/~jnz1568/getInfo.php?workbook=10_02.xlsx&amp;sheet=A0&amp;row=853&amp;col=10&amp;number=&amp;sourceID=32","")</f>
        <v/>
      </c>
      <c r="K853" s="4" t="str">
        <f>HYPERLINK("http://141.218.60.56/~jnz1568/getInfo.php?workbook=10_02.xlsx&amp;sheet=A0&amp;row=853&amp;col=11&amp;number=1.9106&amp;sourceID=46","1.9106")</f>
        <v>1.9106</v>
      </c>
      <c r="L853" s="4" t="str">
        <f>HYPERLINK("http://141.218.60.56/~jnz1568/getInfo.php?workbook=10_02.xlsx&amp;sheet=A0&amp;row=853&amp;col=12&amp;number=&amp;sourceID=47","")</f>
        <v/>
      </c>
    </row>
    <row r="854" spans="1:12">
      <c r="A854" s="3">
        <v>10</v>
      </c>
      <c r="B854" s="3">
        <v>2</v>
      </c>
      <c r="C854" s="3">
        <v>48</v>
      </c>
      <c r="D854" s="3">
        <v>4</v>
      </c>
      <c r="E854" s="3"/>
      <c r="F854" s="4" t="str">
        <f>HYPERLINK("http://141.218.60.56/~jnz1568/getInfo.php?workbook=10_02.xlsx&amp;sheet=A0&amp;row=854&amp;col=6&amp;number=&amp;sourceID=27","")</f>
        <v/>
      </c>
      <c r="G854" s="4" t="str">
        <f>HYPERLINK("http://141.218.60.56/~jnz1568/getInfo.php?workbook=10_02.xlsx&amp;sheet=A0&amp;row=854&amp;col=7&amp;number=&amp;sourceID=32","")</f>
        <v/>
      </c>
      <c r="H854" s="4" t="str">
        <f>HYPERLINK("http://141.218.60.56/~jnz1568/getInfo.php?workbook=10_02.xlsx&amp;sheet=A0&amp;row=854&amp;col=8&amp;number=&amp;sourceID=32","")</f>
        <v/>
      </c>
      <c r="I854" s="4" t="str">
        <f>HYPERLINK("http://141.218.60.56/~jnz1568/getInfo.php?workbook=10_02.xlsx&amp;sheet=A0&amp;row=854&amp;col=9&amp;number=&amp;sourceID=32","")</f>
        <v/>
      </c>
      <c r="J854" s="4" t="str">
        <f>HYPERLINK("http://141.218.60.56/~jnz1568/getInfo.php?workbook=10_02.xlsx&amp;sheet=A0&amp;row=854&amp;col=10&amp;number=&amp;sourceID=32","")</f>
        <v/>
      </c>
      <c r="K854" s="4" t="str">
        <f>HYPERLINK("http://141.218.60.56/~jnz1568/getInfo.php?workbook=10_02.xlsx&amp;sheet=A0&amp;row=854&amp;col=11&amp;number=376.49&amp;sourceID=46","376.49")</f>
        <v>376.49</v>
      </c>
      <c r="L854" s="4" t="str">
        <f>HYPERLINK("http://141.218.60.56/~jnz1568/getInfo.php?workbook=10_02.xlsx&amp;sheet=A0&amp;row=854&amp;col=12&amp;number=&amp;sourceID=47","")</f>
        <v/>
      </c>
    </row>
    <row r="855" spans="1:12">
      <c r="A855" s="3">
        <v>10</v>
      </c>
      <c r="B855" s="3">
        <v>2</v>
      </c>
      <c r="C855" s="3">
        <v>48</v>
      </c>
      <c r="D855" s="3">
        <v>5</v>
      </c>
      <c r="E855" s="3"/>
      <c r="F855" s="4" t="str">
        <f>HYPERLINK("http://141.218.60.56/~jnz1568/getInfo.php?workbook=10_02.xlsx&amp;sheet=A0&amp;row=855&amp;col=6&amp;number=&amp;sourceID=27","")</f>
        <v/>
      </c>
      <c r="G855" s="4" t="str">
        <f>HYPERLINK("http://141.218.60.56/~jnz1568/getInfo.php?workbook=10_02.xlsx&amp;sheet=A0&amp;row=855&amp;col=7&amp;number=&amp;sourceID=32","")</f>
        <v/>
      </c>
      <c r="H855" s="4" t="str">
        <f>HYPERLINK("http://141.218.60.56/~jnz1568/getInfo.php?workbook=10_02.xlsx&amp;sheet=A0&amp;row=855&amp;col=8&amp;number=&amp;sourceID=32","")</f>
        <v/>
      </c>
      <c r="I855" s="4" t="str">
        <f>HYPERLINK("http://141.218.60.56/~jnz1568/getInfo.php?workbook=10_02.xlsx&amp;sheet=A0&amp;row=855&amp;col=9&amp;number=&amp;sourceID=32","")</f>
        <v/>
      </c>
      <c r="J855" s="4" t="str">
        <f>HYPERLINK("http://141.218.60.56/~jnz1568/getInfo.php?workbook=10_02.xlsx&amp;sheet=A0&amp;row=855&amp;col=10&amp;number=&amp;sourceID=32","")</f>
        <v/>
      </c>
      <c r="K855" s="4" t="str">
        <f>HYPERLINK("http://141.218.60.56/~jnz1568/getInfo.php?workbook=10_02.xlsx&amp;sheet=A0&amp;row=855&amp;col=11&amp;number=239.78&amp;sourceID=46","239.78")</f>
        <v>239.78</v>
      </c>
      <c r="L855" s="4" t="str">
        <f>HYPERLINK("http://141.218.60.56/~jnz1568/getInfo.php?workbook=10_02.xlsx&amp;sheet=A0&amp;row=855&amp;col=12&amp;number=&amp;sourceID=47","")</f>
        <v/>
      </c>
    </row>
    <row r="856" spans="1:12">
      <c r="A856" s="3">
        <v>10</v>
      </c>
      <c r="B856" s="3">
        <v>2</v>
      </c>
      <c r="C856" s="3">
        <v>48</v>
      </c>
      <c r="D856" s="3">
        <v>7</v>
      </c>
      <c r="E856" s="3"/>
      <c r="F856" s="4" t="str">
        <f>HYPERLINK("http://141.218.60.56/~jnz1568/getInfo.php?workbook=10_02.xlsx&amp;sheet=A0&amp;row=856&amp;col=6&amp;number=&amp;sourceID=27","")</f>
        <v/>
      </c>
      <c r="G856" s="4" t="str">
        <f>HYPERLINK("http://141.218.60.56/~jnz1568/getInfo.php?workbook=10_02.xlsx&amp;sheet=A0&amp;row=856&amp;col=7&amp;number=&amp;sourceID=32","")</f>
        <v/>
      </c>
      <c r="H856" s="4" t="str">
        <f>HYPERLINK("http://141.218.60.56/~jnz1568/getInfo.php?workbook=10_02.xlsx&amp;sheet=A0&amp;row=856&amp;col=8&amp;number=&amp;sourceID=32","")</f>
        <v/>
      </c>
      <c r="I856" s="4" t="str">
        <f>HYPERLINK("http://141.218.60.56/~jnz1568/getInfo.php?workbook=10_02.xlsx&amp;sheet=A0&amp;row=856&amp;col=9&amp;number=&amp;sourceID=32","")</f>
        <v/>
      </c>
      <c r="J856" s="4" t="str">
        <f>HYPERLINK("http://141.218.60.56/~jnz1568/getInfo.php?workbook=10_02.xlsx&amp;sheet=A0&amp;row=856&amp;col=10&amp;number=&amp;sourceID=32","")</f>
        <v/>
      </c>
      <c r="K856" s="4" t="str">
        <f>HYPERLINK("http://141.218.60.56/~jnz1568/getInfo.php?workbook=10_02.xlsx&amp;sheet=A0&amp;row=856&amp;col=11&amp;number=835.98&amp;sourceID=46","835.98")</f>
        <v>835.98</v>
      </c>
      <c r="L856" s="4" t="str">
        <f>HYPERLINK("http://141.218.60.56/~jnz1568/getInfo.php?workbook=10_02.xlsx&amp;sheet=A0&amp;row=856&amp;col=12&amp;number=&amp;sourceID=47","")</f>
        <v/>
      </c>
    </row>
    <row r="857" spans="1:12">
      <c r="A857" s="3">
        <v>10</v>
      </c>
      <c r="B857" s="3">
        <v>2</v>
      </c>
      <c r="C857" s="3">
        <v>48</v>
      </c>
      <c r="D857" s="3">
        <v>10</v>
      </c>
      <c r="E857" s="3"/>
      <c r="F857" s="4" t="str">
        <f>HYPERLINK("http://141.218.60.56/~jnz1568/getInfo.php?workbook=10_02.xlsx&amp;sheet=A0&amp;row=857&amp;col=6&amp;number=&amp;sourceID=27","")</f>
        <v/>
      </c>
      <c r="G857" s="4" t="str">
        <f>HYPERLINK("http://141.218.60.56/~jnz1568/getInfo.php?workbook=10_02.xlsx&amp;sheet=A0&amp;row=857&amp;col=7&amp;number=&amp;sourceID=32","")</f>
        <v/>
      </c>
      <c r="H857" s="4" t="str">
        <f>HYPERLINK("http://141.218.60.56/~jnz1568/getInfo.php?workbook=10_02.xlsx&amp;sheet=A0&amp;row=857&amp;col=8&amp;number=&amp;sourceID=32","")</f>
        <v/>
      </c>
      <c r="I857" s="4" t="str">
        <f>HYPERLINK("http://141.218.60.56/~jnz1568/getInfo.php?workbook=10_02.xlsx&amp;sheet=A0&amp;row=857&amp;col=9&amp;number=&amp;sourceID=32","")</f>
        <v/>
      </c>
      <c r="J857" s="4" t="str">
        <f>HYPERLINK("http://141.218.60.56/~jnz1568/getInfo.php?workbook=10_02.xlsx&amp;sheet=A0&amp;row=857&amp;col=10&amp;number=&amp;sourceID=32","")</f>
        <v/>
      </c>
      <c r="K857" s="4" t="str">
        <f>HYPERLINK("http://141.218.60.56/~jnz1568/getInfo.php?workbook=10_02.xlsx&amp;sheet=A0&amp;row=857&amp;col=11&amp;number=173.87&amp;sourceID=46","173.87")</f>
        <v>173.87</v>
      </c>
      <c r="L857" s="4" t="str">
        <f>HYPERLINK("http://141.218.60.56/~jnz1568/getInfo.php?workbook=10_02.xlsx&amp;sheet=A0&amp;row=857&amp;col=12&amp;number=&amp;sourceID=47","")</f>
        <v/>
      </c>
    </row>
    <row r="858" spans="1:12">
      <c r="A858" s="3">
        <v>10</v>
      </c>
      <c r="B858" s="3">
        <v>2</v>
      </c>
      <c r="C858" s="3">
        <v>48</v>
      </c>
      <c r="D858" s="3">
        <v>12</v>
      </c>
      <c r="E858" s="3"/>
      <c r="F858" s="4" t="str">
        <f>HYPERLINK("http://141.218.60.56/~jnz1568/getInfo.php?workbook=10_02.xlsx&amp;sheet=A0&amp;row=858&amp;col=6&amp;number=&amp;sourceID=27","")</f>
        <v/>
      </c>
      <c r="G858" s="4" t="str">
        <f>HYPERLINK("http://141.218.60.56/~jnz1568/getInfo.php?workbook=10_02.xlsx&amp;sheet=A0&amp;row=858&amp;col=7&amp;number=&amp;sourceID=32","")</f>
        <v/>
      </c>
      <c r="H858" s="4" t="str">
        <f>HYPERLINK("http://141.218.60.56/~jnz1568/getInfo.php?workbook=10_02.xlsx&amp;sheet=A0&amp;row=858&amp;col=8&amp;number=&amp;sourceID=32","")</f>
        <v/>
      </c>
      <c r="I858" s="4" t="str">
        <f>HYPERLINK("http://141.218.60.56/~jnz1568/getInfo.php?workbook=10_02.xlsx&amp;sheet=A0&amp;row=858&amp;col=9&amp;number=&amp;sourceID=32","")</f>
        <v/>
      </c>
      <c r="J858" s="4" t="str">
        <f>HYPERLINK("http://141.218.60.56/~jnz1568/getInfo.php?workbook=10_02.xlsx&amp;sheet=A0&amp;row=858&amp;col=10&amp;number=&amp;sourceID=32","")</f>
        <v/>
      </c>
      <c r="K858" s="4" t="str">
        <f>HYPERLINK("http://141.218.60.56/~jnz1568/getInfo.php?workbook=10_02.xlsx&amp;sheet=A0&amp;row=858&amp;col=11&amp;number=110.57&amp;sourceID=46","110.57")</f>
        <v>110.57</v>
      </c>
      <c r="L858" s="4" t="str">
        <f>HYPERLINK("http://141.218.60.56/~jnz1568/getInfo.php?workbook=10_02.xlsx&amp;sheet=A0&amp;row=858&amp;col=12&amp;number=&amp;sourceID=47","")</f>
        <v/>
      </c>
    </row>
    <row r="859" spans="1:12">
      <c r="A859" s="3">
        <v>10</v>
      </c>
      <c r="B859" s="3">
        <v>2</v>
      </c>
      <c r="C859" s="3">
        <v>48</v>
      </c>
      <c r="D859" s="3">
        <v>14</v>
      </c>
      <c r="E859" s="3"/>
      <c r="F859" s="4" t="str">
        <f>HYPERLINK("http://141.218.60.56/~jnz1568/getInfo.php?workbook=10_02.xlsx&amp;sheet=A0&amp;row=859&amp;col=6&amp;number=&amp;sourceID=27","")</f>
        <v/>
      </c>
      <c r="G859" s="4" t="str">
        <f>HYPERLINK("http://141.218.60.56/~jnz1568/getInfo.php?workbook=10_02.xlsx&amp;sheet=A0&amp;row=859&amp;col=7&amp;number=&amp;sourceID=32","")</f>
        <v/>
      </c>
      <c r="H859" s="4" t="str">
        <f>HYPERLINK("http://141.218.60.56/~jnz1568/getInfo.php?workbook=10_02.xlsx&amp;sheet=A0&amp;row=859&amp;col=8&amp;number=&amp;sourceID=32","")</f>
        <v/>
      </c>
      <c r="I859" s="4" t="str">
        <f>HYPERLINK("http://141.218.60.56/~jnz1568/getInfo.php?workbook=10_02.xlsx&amp;sheet=A0&amp;row=859&amp;col=9&amp;number=&amp;sourceID=32","")</f>
        <v/>
      </c>
      <c r="J859" s="4" t="str">
        <f>HYPERLINK("http://141.218.60.56/~jnz1568/getInfo.php?workbook=10_02.xlsx&amp;sheet=A0&amp;row=859&amp;col=10&amp;number=&amp;sourceID=32","")</f>
        <v/>
      </c>
      <c r="K859" s="4" t="str">
        <f>HYPERLINK("http://141.218.60.56/~jnz1568/getInfo.php?workbook=10_02.xlsx&amp;sheet=A0&amp;row=859&amp;col=11&amp;number=1481600&amp;sourceID=46","1481600")</f>
        <v>1481600</v>
      </c>
      <c r="L859" s="4" t="str">
        <f>HYPERLINK("http://141.218.60.56/~jnz1568/getInfo.php?workbook=10_02.xlsx&amp;sheet=A0&amp;row=859&amp;col=12&amp;number=&amp;sourceID=47","")</f>
        <v/>
      </c>
    </row>
    <row r="860" spans="1:12">
      <c r="A860" s="3">
        <v>10</v>
      </c>
      <c r="B860" s="3">
        <v>2</v>
      </c>
      <c r="C860" s="3">
        <v>48</v>
      </c>
      <c r="D860" s="3">
        <v>15</v>
      </c>
      <c r="E860" s="3"/>
      <c r="F860" s="4" t="str">
        <f>HYPERLINK("http://141.218.60.56/~jnz1568/getInfo.php?workbook=10_02.xlsx&amp;sheet=A0&amp;row=860&amp;col=6&amp;number=&amp;sourceID=27","")</f>
        <v/>
      </c>
      <c r="G860" s="4" t="str">
        <f>HYPERLINK("http://141.218.60.56/~jnz1568/getInfo.php?workbook=10_02.xlsx&amp;sheet=A0&amp;row=860&amp;col=7&amp;number=&amp;sourceID=32","")</f>
        <v/>
      </c>
      <c r="H860" s="4" t="str">
        <f>HYPERLINK("http://141.218.60.56/~jnz1568/getInfo.php?workbook=10_02.xlsx&amp;sheet=A0&amp;row=860&amp;col=8&amp;number=&amp;sourceID=32","")</f>
        <v/>
      </c>
      <c r="I860" s="4" t="str">
        <f>HYPERLINK("http://141.218.60.56/~jnz1568/getInfo.php?workbook=10_02.xlsx&amp;sheet=A0&amp;row=860&amp;col=9&amp;number=&amp;sourceID=32","")</f>
        <v/>
      </c>
      <c r="J860" s="4" t="str">
        <f>HYPERLINK("http://141.218.60.56/~jnz1568/getInfo.php?workbook=10_02.xlsx&amp;sheet=A0&amp;row=860&amp;col=10&amp;number=&amp;sourceID=32","")</f>
        <v/>
      </c>
      <c r="K860" s="4" t="str">
        <f>HYPERLINK("http://141.218.60.56/~jnz1568/getInfo.php?workbook=10_02.xlsx&amp;sheet=A0&amp;row=860&amp;col=11&amp;number=474010&amp;sourceID=46","474010")</f>
        <v>474010</v>
      </c>
      <c r="L860" s="4" t="str">
        <f>HYPERLINK("http://141.218.60.56/~jnz1568/getInfo.php?workbook=10_02.xlsx&amp;sheet=A0&amp;row=860&amp;col=12&amp;number=&amp;sourceID=47","")</f>
        <v/>
      </c>
    </row>
    <row r="861" spans="1:12">
      <c r="A861" s="3">
        <v>10</v>
      </c>
      <c r="B861" s="3">
        <v>2</v>
      </c>
      <c r="C861" s="3">
        <v>48</v>
      </c>
      <c r="D861" s="3">
        <v>16</v>
      </c>
      <c r="E861" s="3"/>
      <c r="F861" s="4" t="str">
        <f>HYPERLINK("http://141.218.60.56/~jnz1568/getInfo.php?workbook=10_02.xlsx&amp;sheet=A0&amp;row=861&amp;col=6&amp;number=&amp;sourceID=27","")</f>
        <v/>
      </c>
      <c r="G861" s="4" t="str">
        <f>HYPERLINK("http://141.218.60.56/~jnz1568/getInfo.php?workbook=10_02.xlsx&amp;sheet=A0&amp;row=861&amp;col=7&amp;number=&amp;sourceID=32","")</f>
        <v/>
      </c>
      <c r="H861" s="4" t="str">
        <f>HYPERLINK("http://141.218.60.56/~jnz1568/getInfo.php?workbook=10_02.xlsx&amp;sheet=A0&amp;row=861&amp;col=8&amp;number=&amp;sourceID=32","")</f>
        <v/>
      </c>
      <c r="I861" s="4" t="str">
        <f>HYPERLINK("http://141.218.60.56/~jnz1568/getInfo.php?workbook=10_02.xlsx&amp;sheet=A0&amp;row=861&amp;col=9&amp;number=&amp;sourceID=32","")</f>
        <v/>
      </c>
      <c r="J861" s="4" t="str">
        <f>HYPERLINK("http://141.218.60.56/~jnz1568/getInfo.php?workbook=10_02.xlsx&amp;sheet=A0&amp;row=861&amp;col=10&amp;number=&amp;sourceID=32","")</f>
        <v/>
      </c>
      <c r="K861" s="4" t="str">
        <f>HYPERLINK("http://141.218.60.56/~jnz1568/getInfo.php?workbook=10_02.xlsx&amp;sheet=A0&amp;row=861&amp;col=11&amp;number=4214400&amp;sourceID=46","4214400")</f>
        <v>4214400</v>
      </c>
      <c r="L861" s="4" t="str">
        <f>HYPERLINK("http://141.218.60.56/~jnz1568/getInfo.php?workbook=10_02.xlsx&amp;sheet=A0&amp;row=861&amp;col=12&amp;number=&amp;sourceID=47","")</f>
        <v/>
      </c>
    </row>
    <row r="862" spans="1:12">
      <c r="A862" s="3">
        <v>10</v>
      </c>
      <c r="B862" s="3">
        <v>2</v>
      </c>
      <c r="C862" s="3">
        <v>48</v>
      </c>
      <c r="D862" s="3">
        <v>17</v>
      </c>
      <c r="E862" s="3"/>
      <c r="F862" s="4" t="str">
        <f>HYPERLINK("http://141.218.60.56/~jnz1568/getInfo.php?workbook=10_02.xlsx&amp;sheet=A0&amp;row=862&amp;col=6&amp;number=&amp;sourceID=27","")</f>
        <v/>
      </c>
      <c r="G862" s="4" t="str">
        <f>HYPERLINK("http://141.218.60.56/~jnz1568/getInfo.php?workbook=10_02.xlsx&amp;sheet=A0&amp;row=862&amp;col=7&amp;number=&amp;sourceID=32","")</f>
        <v/>
      </c>
      <c r="H862" s="4" t="str">
        <f>HYPERLINK("http://141.218.60.56/~jnz1568/getInfo.php?workbook=10_02.xlsx&amp;sheet=A0&amp;row=862&amp;col=8&amp;number=&amp;sourceID=32","")</f>
        <v/>
      </c>
      <c r="I862" s="4" t="str">
        <f>HYPERLINK("http://141.218.60.56/~jnz1568/getInfo.php?workbook=10_02.xlsx&amp;sheet=A0&amp;row=862&amp;col=9&amp;number=&amp;sourceID=32","")</f>
        <v/>
      </c>
      <c r="J862" s="4" t="str">
        <f>HYPERLINK("http://141.218.60.56/~jnz1568/getInfo.php?workbook=10_02.xlsx&amp;sheet=A0&amp;row=862&amp;col=10&amp;number=&amp;sourceID=32","")</f>
        <v/>
      </c>
      <c r="K862" s="4" t="str">
        <f>HYPERLINK("http://141.218.60.56/~jnz1568/getInfo.php?workbook=10_02.xlsx&amp;sheet=A0&amp;row=862&amp;col=11&amp;number=332.47&amp;sourceID=46","332.47")</f>
        <v>332.47</v>
      </c>
      <c r="L862" s="4" t="str">
        <f>HYPERLINK("http://141.218.60.56/~jnz1568/getInfo.php?workbook=10_02.xlsx&amp;sheet=A0&amp;row=862&amp;col=12&amp;number=&amp;sourceID=47","")</f>
        <v/>
      </c>
    </row>
    <row r="863" spans="1:12">
      <c r="A863" s="3">
        <v>10</v>
      </c>
      <c r="B863" s="3">
        <v>2</v>
      </c>
      <c r="C863" s="3">
        <v>48</v>
      </c>
      <c r="D863" s="3">
        <v>20</v>
      </c>
      <c r="E863" s="3"/>
      <c r="F863" s="4" t="str">
        <f>HYPERLINK("http://141.218.60.56/~jnz1568/getInfo.php?workbook=10_02.xlsx&amp;sheet=A0&amp;row=863&amp;col=6&amp;number=&amp;sourceID=27","")</f>
        <v/>
      </c>
      <c r="G863" s="4" t="str">
        <f>HYPERLINK("http://141.218.60.56/~jnz1568/getInfo.php?workbook=10_02.xlsx&amp;sheet=A0&amp;row=863&amp;col=7&amp;number=&amp;sourceID=32","")</f>
        <v/>
      </c>
      <c r="H863" s="4" t="str">
        <f>HYPERLINK("http://141.218.60.56/~jnz1568/getInfo.php?workbook=10_02.xlsx&amp;sheet=A0&amp;row=863&amp;col=8&amp;number=&amp;sourceID=32","")</f>
        <v/>
      </c>
      <c r="I863" s="4" t="str">
        <f>HYPERLINK("http://141.218.60.56/~jnz1568/getInfo.php?workbook=10_02.xlsx&amp;sheet=A0&amp;row=863&amp;col=9&amp;number=&amp;sourceID=32","")</f>
        <v/>
      </c>
      <c r="J863" s="4" t="str">
        <f>HYPERLINK("http://141.218.60.56/~jnz1568/getInfo.php?workbook=10_02.xlsx&amp;sheet=A0&amp;row=863&amp;col=10&amp;number=&amp;sourceID=32","")</f>
        <v/>
      </c>
      <c r="K863" s="4" t="str">
        <f>HYPERLINK("http://141.218.60.56/~jnz1568/getInfo.php?workbook=10_02.xlsx&amp;sheet=A0&amp;row=863&amp;col=11&amp;number=1.7691&amp;sourceID=46","1.7691")</f>
        <v>1.7691</v>
      </c>
      <c r="L863" s="4" t="str">
        <f>HYPERLINK("http://141.218.60.56/~jnz1568/getInfo.php?workbook=10_02.xlsx&amp;sheet=A0&amp;row=863&amp;col=12&amp;number=&amp;sourceID=47","")</f>
        <v/>
      </c>
    </row>
    <row r="864" spans="1:12">
      <c r="A864" s="3">
        <v>10</v>
      </c>
      <c r="B864" s="3">
        <v>2</v>
      </c>
      <c r="C864" s="3">
        <v>48</v>
      </c>
      <c r="D864" s="3">
        <v>21</v>
      </c>
      <c r="E864" s="3"/>
      <c r="F864" s="4" t="str">
        <f>HYPERLINK("http://141.218.60.56/~jnz1568/getInfo.php?workbook=10_02.xlsx&amp;sheet=A0&amp;row=864&amp;col=6&amp;number=&amp;sourceID=27","")</f>
        <v/>
      </c>
      <c r="G864" s="4" t="str">
        <f>HYPERLINK("http://141.218.60.56/~jnz1568/getInfo.php?workbook=10_02.xlsx&amp;sheet=A0&amp;row=864&amp;col=7&amp;number=&amp;sourceID=32","")</f>
        <v/>
      </c>
      <c r="H864" s="4" t="str">
        <f>HYPERLINK("http://141.218.60.56/~jnz1568/getInfo.php?workbook=10_02.xlsx&amp;sheet=A0&amp;row=864&amp;col=8&amp;number=&amp;sourceID=32","")</f>
        <v/>
      </c>
      <c r="I864" s="4" t="str">
        <f>HYPERLINK("http://141.218.60.56/~jnz1568/getInfo.php?workbook=10_02.xlsx&amp;sheet=A0&amp;row=864&amp;col=9&amp;number=&amp;sourceID=32","")</f>
        <v/>
      </c>
      <c r="J864" s="4" t="str">
        <f>HYPERLINK("http://141.218.60.56/~jnz1568/getInfo.php?workbook=10_02.xlsx&amp;sheet=A0&amp;row=864&amp;col=10&amp;number=&amp;sourceID=32","")</f>
        <v/>
      </c>
      <c r="K864" s="4" t="str">
        <f>HYPERLINK("http://141.218.60.56/~jnz1568/getInfo.php?workbook=10_02.xlsx&amp;sheet=A0&amp;row=864&amp;col=11&amp;number=1.1203&amp;sourceID=46","1.1203")</f>
        <v>1.1203</v>
      </c>
      <c r="L864" s="4" t="str">
        <f>HYPERLINK("http://141.218.60.56/~jnz1568/getInfo.php?workbook=10_02.xlsx&amp;sheet=A0&amp;row=864&amp;col=12&amp;number=&amp;sourceID=47","")</f>
        <v/>
      </c>
    </row>
    <row r="865" spans="1:12">
      <c r="A865" s="3">
        <v>10</v>
      </c>
      <c r="B865" s="3">
        <v>2</v>
      </c>
      <c r="C865" s="3">
        <v>48</v>
      </c>
      <c r="D865" s="3">
        <v>24</v>
      </c>
      <c r="E865" s="3"/>
      <c r="F865" s="4" t="str">
        <f>HYPERLINK("http://141.218.60.56/~jnz1568/getInfo.php?workbook=10_02.xlsx&amp;sheet=A0&amp;row=865&amp;col=6&amp;number=&amp;sourceID=27","")</f>
        <v/>
      </c>
      <c r="G865" s="4" t="str">
        <f>HYPERLINK("http://141.218.60.56/~jnz1568/getInfo.php?workbook=10_02.xlsx&amp;sheet=A0&amp;row=865&amp;col=7&amp;number=&amp;sourceID=32","")</f>
        <v/>
      </c>
      <c r="H865" s="4" t="str">
        <f>HYPERLINK("http://141.218.60.56/~jnz1568/getInfo.php?workbook=10_02.xlsx&amp;sheet=A0&amp;row=865&amp;col=8&amp;number=&amp;sourceID=32","")</f>
        <v/>
      </c>
      <c r="I865" s="4" t="str">
        <f>HYPERLINK("http://141.218.60.56/~jnz1568/getInfo.php?workbook=10_02.xlsx&amp;sheet=A0&amp;row=865&amp;col=9&amp;number=&amp;sourceID=32","")</f>
        <v/>
      </c>
      <c r="J865" s="4" t="str">
        <f>HYPERLINK("http://141.218.60.56/~jnz1568/getInfo.php?workbook=10_02.xlsx&amp;sheet=A0&amp;row=865&amp;col=10&amp;number=&amp;sourceID=32","")</f>
        <v/>
      </c>
      <c r="K865" s="4" t="str">
        <f>HYPERLINK("http://141.218.60.56/~jnz1568/getInfo.php?workbook=10_02.xlsx&amp;sheet=A0&amp;row=865&amp;col=11&amp;number=143080&amp;sourceID=46","143080")</f>
        <v>143080</v>
      </c>
      <c r="L865" s="4" t="str">
        <f>HYPERLINK("http://141.218.60.56/~jnz1568/getInfo.php?workbook=10_02.xlsx&amp;sheet=A0&amp;row=865&amp;col=12&amp;number=&amp;sourceID=47","")</f>
        <v/>
      </c>
    </row>
    <row r="866" spans="1:12">
      <c r="A866" s="3">
        <v>10</v>
      </c>
      <c r="B866" s="3">
        <v>2</v>
      </c>
      <c r="C866" s="3">
        <v>48</v>
      </c>
      <c r="D866" s="3">
        <v>25</v>
      </c>
      <c r="E866" s="3"/>
      <c r="F866" s="4" t="str">
        <f>HYPERLINK("http://141.218.60.56/~jnz1568/getInfo.php?workbook=10_02.xlsx&amp;sheet=A0&amp;row=866&amp;col=6&amp;number=&amp;sourceID=27","")</f>
        <v/>
      </c>
      <c r="G866" s="4" t="str">
        <f>HYPERLINK("http://141.218.60.56/~jnz1568/getInfo.php?workbook=10_02.xlsx&amp;sheet=A0&amp;row=866&amp;col=7&amp;number=&amp;sourceID=32","")</f>
        <v/>
      </c>
      <c r="H866" s="4" t="str">
        <f>HYPERLINK("http://141.218.60.56/~jnz1568/getInfo.php?workbook=10_02.xlsx&amp;sheet=A0&amp;row=866&amp;col=8&amp;number=&amp;sourceID=32","")</f>
        <v/>
      </c>
      <c r="I866" s="4" t="str">
        <f>HYPERLINK("http://141.218.60.56/~jnz1568/getInfo.php?workbook=10_02.xlsx&amp;sheet=A0&amp;row=866&amp;col=9&amp;number=&amp;sourceID=32","")</f>
        <v/>
      </c>
      <c r="J866" s="4" t="str">
        <f>HYPERLINK("http://141.218.60.56/~jnz1568/getInfo.php?workbook=10_02.xlsx&amp;sheet=A0&amp;row=866&amp;col=10&amp;number=&amp;sourceID=32","")</f>
        <v/>
      </c>
      <c r="K866" s="4" t="str">
        <f>HYPERLINK("http://141.218.60.56/~jnz1568/getInfo.php?workbook=10_02.xlsx&amp;sheet=A0&amp;row=866&amp;col=11&amp;number=41064&amp;sourceID=46","41064")</f>
        <v>41064</v>
      </c>
      <c r="L866" s="4" t="str">
        <f>HYPERLINK("http://141.218.60.56/~jnz1568/getInfo.php?workbook=10_02.xlsx&amp;sheet=A0&amp;row=866&amp;col=12&amp;number=&amp;sourceID=47","")</f>
        <v/>
      </c>
    </row>
    <row r="867" spans="1:12">
      <c r="A867" s="3">
        <v>10</v>
      </c>
      <c r="B867" s="3">
        <v>2</v>
      </c>
      <c r="C867" s="3">
        <v>48</v>
      </c>
      <c r="D867" s="3">
        <v>26</v>
      </c>
      <c r="E867" s="3"/>
      <c r="F867" s="4" t="str">
        <f>HYPERLINK("http://141.218.60.56/~jnz1568/getInfo.php?workbook=10_02.xlsx&amp;sheet=A0&amp;row=867&amp;col=6&amp;number=&amp;sourceID=27","")</f>
        <v/>
      </c>
      <c r="G867" s="4" t="str">
        <f>HYPERLINK("http://141.218.60.56/~jnz1568/getInfo.php?workbook=10_02.xlsx&amp;sheet=A0&amp;row=867&amp;col=7&amp;number=&amp;sourceID=32","")</f>
        <v/>
      </c>
      <c r="H867" s="4" t="str">
        <f>HYPERLINK("http://141.218.60.56/~jnz1568/getInfo.php?workbook=10_02.xlsx&amp;sheet=A0&amp;row=867&amp;col=8&amp;number=&amp;sourceID=32","")</f>
        <v/>
      </c>
      <c r="I867" s="4" t="str">
        <f>HYPERLINK("http://141.218.60.56/~jnz1568/getInfo.php?workbook=10_02.xlsx&amp;sheet=A0&amp;row=867&amp;col=9&amp;number=&amp;sourceID=32","")</f>
        <v/>
      </c>
      <c r="J867" s="4" t="str">
        <f>HYPERLINK("http://141.218.60.56/~jnz1568/getInfo.php?workbook=10_02.xlsx&amp;sheet=A0&amp;row=867&amp;col=10&amp;number=&amp;sourceID=32","")</f>
        <v/>
      </c>
      <c r="K867" s="4" t="str">
        <f>HYPERLINK("http://141.218.60.56/~jnz1568/getInfo.php?workbook=10_02.xlsx&amp;sheet=A0&amp;row=867&amp;col=11&amp;number=3.6585&amp;sourceID=46","3.6585")</f>
        <v>3.6585</v>
      </c>
      <c r="L867" s="4" t="str">
        <f>HYPERLINK("http://141.218.60.56/~jnz1568/getInfo.php?workbook=10_02.xlsx&amp;sheet=A0&amp;row=867&amp;col=12&amp;number=&amp;sourceID=47","")</f>
        <v/>
      </c>
    </row>
    <row r="868" spans="1:12">
      <c r="A868" s="3">
        <v>10</v>
      </c>
      <c r="B868" s="3">
        <v>2</v>
      </c>
      <c r="C868" s="3">
        <v>48</v>
      </c>
      <c r="D868" s="3">
        <v>27</v>
      </c>
      <c r="E868" s="3"/>
      <c r="F868" s="4" t="str">
        <f>HYPERLINK("http://141.218.60.56/~jnz1568/getInfo.php?workbook=10_02.xlsx&amp;sheet=A0&amp;row=868&amp;col=6&amp;number=&amp;sourceID=27","")</f>
        <v/>
      </c>
      <c r="G868" s="4" t="str">
        <f>HYPERLINK("http://141.218.60.56/~jnz1568/getInfo.php?workbook=10_02.xlsx&amp;sheet=A0&amp;row=868&amp;col=7&amp;number=&amp;sourceID=32","")</f>
        <v/>
      </c>
      <c r="H868" s="4" t="str">
        <f>HYPERLINK("http://141.218.60.56/~jnz1568/getInfo.php?workbook=10_02.xlsx&amp;sheet=A0&amp;row=868&amp;col=8&amp;number=&amp;sourceID=32","")</f>
        <v/>
      </c>
      <c r="I868" s="4" t="str">
        <f>HYPERLINK("http://141.218.60.56/~jnz1568/getInfo.php?workbook=10_02.xlsx&amp;sheet=A0&amp;row=868&amp;col=9&amp;number=&amp;sourceID=32","")</f>
        <v/>
      </c>
      <c r="J868" s="4" t="str">
        <f>HYPERLINK("http://141.218.60.56/~jnz1568/getInfo.php?workbook=10_02.xlsx&amp;sheet=A0&amp;row=868&amp;col=10&amp;number=&amp;sourceID=32","")</f>
        <v/>
      </c>
      <c r="K868" s="4" t="str">
        <f>HYPERLINK("http://141.218.60.56/~jnz1568/getInfo.php?workbook=10_02.xlsx&amp;sheet=A0&amp;row=868&amp;col=11&amp;number=64466000&amp;sourceID=46","64466000")</f>
        <v>64466000</v>
      </c>
      <c r="L868" s="4" t="str">
        <f>HYPERLINK("http://141.218.60.56/~jnz1568/getInfo.php?workbook=10_02.xlsx&amp;sheet=A0&amp;row=868&amp;col=12&amp;number=&amp;sourceID=47","")</f>
        <v/>
      </c>
    </row>
    <row r="869" spans="1:12">
      <c r="A869" s="3">
        <v>10</v>
      </c>
      <c r="B869" s="3">
        <v>2</v>
      </c>
      <c r="C869" s="3">
        <v>48</v>
      </c>
      <c r="D869" s="3">
        <v>28</v>
      </c>
      <c r="E869" s="3"/>
      <c r="F869" s="4" t="str">
        <f>HYPERLINK("http://141.218.60.56/~jnz1568/getInfo.php?workbook=10_02.xlsx&amp;sheet=A0&amp;row=869&amp;col=6&amp;number=&amp;sourceID=27","")</f>
        <v/>
      </c>
      <c r="G869" s="4" t="str">
        <f>HYPERLINK("http://141.218.60.56/~jnz1568/getInfo.php?workbook=10_02.xlsx&amp;sheet=A0&amp;row=869&amp;col=7&amp;number=&amp;sourceID=32","")</f>
        <v/>
      </c>
      <c r="H869" s="4" t="str">
        <f>HYPERLINK("http://141.218.60.56/~jnz1568/getInfo.php?workbook=10_02.xlsx&amp;sheet=A0&amp;row=869&amp;col=8&amp;number=&amp;sourceID=32","")</f>
        <v/>
      </c>
      <c r="I869" s="4" t="str">
        <f>HYPERLINK("http://141.218.60.56/~jnz1568/getInfo.php?workbook=10_02.xlsx&amp;sheet=A0&amp;row=869&amp;col=9&amp;number=&amp;sourceID=32","")</f>
        <v/>
      </c>
      <c r="J869" s="4" t="str">
        <f>HYPERLINK("http://141.218.60.56/~jnz1568/getInfo.php?workbook=10_02.xlsx&amp;sheet=A0&amp;row=869&amp;col=10&amp;number=&amp;sourceID=32","")</f>
        <v/>
      </c>
      <c r="K869" s="4" t="str">
        <f>HYPERLINK("http://141.218.60.56/~jnz1568/getInfo.php?workbook=10_02.xlsx&amp;sheet=A0&amp;row=869&amp;col=11&amp;number=804560000&amp;sourceID=46","804560000")</f>
        <v>804560000</v>
      </c>
      <c r="L869" s="4" t="str">
        <f>HYPERLINK("http://141.218.60.56/~jnz1568/getInfo.php?workbook=10_02.xlsx&amp;sheet=A0&amp;row=869&amp;col=12&amp;number=&amp;sourceID=47","")</f>
        <v/>
      </c>
    </row>
    <row r="870" spans="1:12">
      <c r="A870" s="3">
        <v>10</v>
      </c>
      <c r="B870" s="3">
        <v>2</v>
      </c>
      <c r="C870" s="3">
        <v>48</v>
      </c>
      <c r="D870" s="3">
        <v>29</v>
      </c>
      <c r="E870" s="3"/>
      <c r="F870" s="4" t="str">
        <f>HYPERLINK("http://141.218.60.56/~jnz1568/getInfo.php?workbook=10_02.xlsx&amp;sheet=A0&amp;row=870&amp;col=6&amp;number=&amp;sourceID=27","")</f>
        <v/>
      </c>
      <c r="G870" s="4" t="str">
        <f>HYPERLINK("http://141.218.60.56/~jnz1568/getInfo.php?workbook=10_02.xlsx&amp;sheet=A0&amp;row=870&amp;col=7&amp;number=&amp;sourceID=32","")</f>
        <v/>
      </c>
      <c r="H870" s="4" t="str">
        <f>HYPERLINK("http://141.218.60.56/~jnz1568/getInfo.php?workbook=10_02.xlsx&amp;sheet=A0&amp;row=870&amp;col=8&amp;number=&amp;sourceID=32","")</f>
        <v/>
      </c>
      <c r="I870" s="4" t="str">
        <f>HYPERLINK("http://141.218.60.56/~jnz1568/getInfo.php?workbook=10_02.xlsx&amp;sheet=A0&amp;row=870&amp;col=9&amp;number=&amp;sourceID=32","")</f>
        <v/>
      </c>
      <c r="J870" s="4" t="str">
        <f>HYPERLINK("http://141.218.60.56/~jnz1568/getInfo.php?workbook=10_02.xlsx&amp;sheet=A0&amp;row=870&amp;col=10&amp;number=&amp;sourceID=32","")</f>
        <v/>
      </c>
      <c r="K870" s="4" t="str">
        <f>HYPERLINK("http://141.218.60.56/~jnz1568/getInfo.php?workbook=10_02.xlsx&amp;sheet=A0&amp;row=870&amp;col=11&amp;number=348090&amp;sourceID=46","348090")</f>
        <v>348090</v>
      </c>
      <c r="L870" s="4" t="str">
        <f>HYPERLINK("http://141.218.60.56/~jnz1568/getInfo.php?workbook=10_02.xlsx&amp;sheet=A0&amp;row=870&amp;col=12&amp;number=&amp;sourceID=47","")</f>
        <v/>
      </c>
    </row>
    <row r="871" spans="1:12">
      <c r="A871" s="3">
        <v>10</v>
      </c>
      <c r="B871" s="3">
        <v>2</v>
      </c>
      <c r="C871" s="3">
        <v>48</v>
      </c>
      <c r="D871" s="3">
        <v>30</v>
      </c>
      <c r="E871" s="3"/>
      <c r="F871" s="4" t="str">
        <f>HYPERLINK("http://141.218.60.56/~jnz1568/getInfo.php?workbook=10_02.xlsx&amp;sheet=A0&amp;row=871&amp;col=6&amp;number=&amp;sourceID=27","")</f>
        <v/>
      </c>
      <c r="G871" s="4" t="str">
        <f>HYPERLINK("http://141.218.60.56/~jnz1568/getInfo.php?workbook=10_02.xlsx&amp;sheet=A0&amp;row=871&amp;col=7&amp;number=&amp;sourceID=32","")</f>
        <v/>
      </c>
      <c r="H871" s="4" t="str">
        <f>HYPERLINK("http://141.218.60.56/~jnz1568/getInfo.php?workbook=10_02.xlsx&amp;sheet=A0&amp;row=871&amp;col=8&amp;number=&amp;sourceID=32","")</f>
        <v/>
      </c>
      <c r="I871" s="4" t="str">
        <f>HYPERLINK("http://141.218.60.56/~jnz1568/getInfo.php?workbook=10_02.xlsx&amp;sheet=A0&amp;row=871&amp;col=9&amp;number=&amp;sourceID=32","")</f>
        <v/>
      </c>
      <c r="J871" s="4" t="str">
        <f>HYPERLINK("http://141.218.60.56/~jnz1568/getInfo.php?workbook=10_02.xlsx&amp;sheet=A0&amp;row=871&amp;col=10&amp;number=&amp;sourceID=32","")</f>
        <v/>
      </c>
      <c r="K871" s="4" t="str">
        <f>HYPERLINK("http://141.218.60.56/~jnz1568/getInfo.php?workbook=10_02.xlsx&amp;sheet=A0&amp;row=871&amp;col=11&amp;number=27056000000&amp;sourceID=46","27056000000")</f>
        <v>27056000000</v>
      </c>
      <c r="L871" s="4" t="str">
        <f>HYPERLINK("http://141.218.60.56/~jnz1568/getInfo.php?workbook=10_02.xlsx&amp;sheet=A0&amp;row=871&amp;col=12&amp;number=&amp;sourceID=47","")</f>
        <v/>
      </c>
    </row>
    <row r="872" spans="1:12">
      <c r="A872" s="3">
        <v>10</v>
      </c>
      <c r="B872" s="3">
        <v>2</v>
      </c>
      <c r="C872" s="3">
        <v>48</v>
      </c>
      <c r="D872" s="3">
        <v>31</v>
      </c>
      <c r="E872" s="3"/>
      <c r="F872" s="4" t="str">
        <f>HYPERLINK("http://141.218.60.56/~jnz1568/getInfo.php?workbook=10_02.xlsx&amp;sheet=A0&amp;row=872&amp;col=6&amp;number=&amp;sourceID=27","")</f>
        <v/>
      </c>
      <c r="G872" s="4" t="str">
        <f>HYPERLINK("http://141.218.60.56/~jnz1568/getInfo.php?workbook=10_02.xlsx&amp;sheet=A0&amp;row=872&amp;col=7&amp;number=&amp;sourceID=32","")</f>
        <v/>
      </c>
      <c r="H872" s="4" t="str">
        <f>HYPERLINK("http://141.218.60.56/~jnz1568/getInfo.php?workbook=10_02.xlsx&amp;sheet=A0&amp;row=872&amp;col=8&amp;number=&amp;sourceID=32","")</f>
        <v/>
      </c>
      <c r="I872" s="4" t="str">
        <f>HYPERLINK("http://141.218.60.56/~jnz1568/getInfo.php?workbook=10_02.xlsx&amp;sheet=A0&amp;row=872&amp;col=9&amp;number=&amp;sourceID=32","")</f>
        <v/>
      </c>
      <c r="J872" s="4" t="str">
        <f>HYPERLINK("http://141.218.60.56/~jnz1568/getInfo.php?workbook=10_02.xlsx&amp;sheet=A0&amp;row=872&amp;col=10&amp;number=&amp;sourceID=32","")</f>
        <v/>
      </c>
      <c r="K872" s="4" t="str">
        <f>HYPERLINK("http://141.218.60.56/~jnz1568/getInfo.php?workbook=10_02.xlsx&amp;sheet=A0&amp;row=872&amp;col=11&amp;number=2.9793&amp;sourceID=46","2.9793")</f>
        <v>2.9793</v>
      </c>
      <c r="L872" s="4" t="str">
        <f>HYPERLINK("http://141.218.60.56/~jnz1568/getInfo.php?workbook=10_02.xlsx&amp;sheet=A0&amp;row=872&amp;col=12&amp;number=&amp;sourceID=47","")</f>
        <v/>
      </c>
    </row>
    <row r="873" spans="1:12">
      <c r="A873" s="3">
        <v>10</v>
      </c>
      <c r="B873" s="3">
        <v>2</v>
      </c>
      <c r="C873" s="3">
        <v>49</v>
      </c>
      <c r="D873" s="3">
        <v>1</v>
      </c>
      <c r="E873" s="3">
        <f>((1/(INDEX(E0!J$4:J$52,C873,1)-INDEX(E0!J$4:J$52,D873,1))))*100000000</f>
        <v>0</v>
      </c>
      <c r="F873" s="4" t="str">
        <f>HYPERLINK("http://141.218.60.56/~jnz1568/getInfo.php?workbook=10_02.xlsx&amp;sheet=A0&amp;row=873&amp;col=6&amp;number=&amp;sourceID=27","")</f>
        <v/>
      </c>
      <c r="G873" s="4" t="str">
        <f>HYPERLINK("http://141.218.60.56/~jnz1568/getInfo.php?workbook=10_02.xlsx&amp;sheet=A0&amp;row=873&amp;col=7&amp;number=519700000000&amp;sourceID=32","519700000000")</f>
        <v>519700000000</v>
      </c>
      <c r="H873" s="4" t="str">
        <f>HYPERLINK("http://141.218.60.56/~jnz1568/getInfo.php?workbook=10_02.xlsx&amp;sheet=A0&amp;row=873&amp;col=8&amp;number=&amp;sourceID=32","")</f>
        <v/>
      </c>
      <c r="I873" s="4" t="str">
        <f>HYPERLINK("http://141.218.60.56/~jnz1568/getInfo.php?workbook=10_02.xlsx&amp;sheet=A0&amp;row=873&amp;col=9&amp;number=&amp;sourceID=32","")</f>
        <v/>
      </c>
      <c r="J873" s="4" t="str">
        <f>HYPERLINK("http://141.218.60.56/~jnz1568/getInfo.php?workbook=10_02.xlsx&amp;sheet=A0&amp;row=873&amp;col=10&amp;number=&amp;sourceID=32","")</f>
        <v/>
      </c>
      <c r="K873" s="4" t="str">
        <f>HYPERLINK("http://141.218.60.56/~jnz1568/getInfo.php?workbook=10_02.xlsx&amp;sheet=A0&amp;row=873&amp;col=11&amp;number=576150000000&amp;sourceID=46","576150000000")</f>
        <v>576150000000</v>
      </c>
      <c r="L873" s="4" t="str">
        <f>HYPERLINK("http://141.218.60.56/~jnz1568/getInfo.php?workbook=10_02.xlsx&amp;sheet=A0&amp;row=873&amp;col=12&amp;number=&amp;sourceID=47","")</f>
        <v/>
      </c>
    </row>
    <row r="874" spans="1:12">
      <c r="A874" s="3">
        <v>10</v>
      </c>
      <c r="B874" s="3">
        <v>2</v>
      </c>
      <c r="C874" s="3">
        <v>49</v>
      </c>
      <c r="D874" s="3">
        <v>2</v>
      </c>
      <c r="E874" s="3">
        <f>((1/(INDEX(E0!J$4:J$52,C874,1)-INDEX(E0!J$4:J$52,D874,1))))*100000000</f>
        <v>0</v>
      </c>
      <c r="F874" s="4" t="str">
        <f>HYPERLINK("http://141.218.60.56/~jnz1568/getInfo.php?workbook=10_02.xlsx&amp;sheet=A0&amp;row=874&amp;col=6&amp;number=&amp;sourceID=27","")</f>
        <v/>
      </c>
      <c r="G874" s="4" t="str">
        <f>HYPERLINK("http://141.218.60.56/~jnz1568/getInfo.php?workbook=10_02.xlsx&amp;sheet=A0&amp;row=874&amp;col=7&amp;number=21800000&amp;sourceID=32","21800000")</f>
        <v>21800000</v>
      </c>
      <c r="H874" s="4" t="str">
        <f>HYPERLINK("http://141.218.60.56/~jnz1568/getInfo.php?workbook=10_02.xlsx&amp;sheet=A0&amp;row=874&amp;col=8&amp;number=&amp;sourceID=32","")</f>
        <v/>
      </c>
      <c r="I874" s="4" t="str">
        <f>HYPERLINK("http://141.218.60.56/~jnz1568/getInfo.php?workbook=10_02.xlsx&amp;sheet=A0&amp;row=874&amp;col=9&amp;number=&amp;sourceID=32","")</f>
        <v/>
      </c>
      <c r="J874" s="4" t="str">
        <f>HYPERLINK("http://141.218.60.56/~jnz1568/getInfo.php?workbook=10_02.xlsx&amp;sheet=A0&amp;row=874&amp;col=10&amp;number=948&amp;sourceID=32","948")</f>
        <v>948</v>
      </c>
      <c r="K874" s="4" t="str">
        <f>HYPERLINK("http://141.218.60.56/~jnz1568/getInfo.php?workbook=10_02.xlsx&amp;sheet=A0&amp;row=874&amp;col=11&amp;number=9296300&amp;sourceID=46","9296300")</f>
        <v>9296300</v>
      </c>
      <c r="L874" s="4" t="str">
        <f>HYPERLINK("http://141.218.60.56/~jnz1568/getInfo.php?workbook=10_02.xlsx&amp;sheet=A0&amp;row=874&amp;col=12&amp;number=&amp;sourceID=47","")</f>
        <v/>
      </c>
    </row>
    <row r="875" spans="1:12">
      <c r="A875" s="3">
        <v>10</v>
      </c>
      <c r="B875" s="3">
        <v>2</v>
      </c>
      <c r="C875" s="3">
        <v>49</v>
      </c>
      <c r="D875" s="3">
        <v>3</v>
      </c>
      <c r="E875" s="3">
        <f>((1/(INDEX(E0!J$4:J$52,C875,1)-INDEX(E0!J$4:J$52,D875,1))))*100000000</f>
        <v>0</v>
      </c>
      <c r="F875" s="4" t="str">
        <f>HYPERLINK("http://141.218.60.56/~jnz1568/getInfo.php?workbook=10_02.xlsx&amp;sheet=A0&amp;row=875&amp;col=6&amp;number=&amp;sourceID=27","")</f>
        <v/>
      </c>
      <c r="G875" s="4" t="str">
        <f>HYPERLINK("http://141.218.60.56/~jnz1568/getInfo.php?workbook=10_02.xlsx&amp;sheet=A0&amp;row=875&amp;col=7&amp;number=&amp;sourceID=32","")</f>
        <v/>
      </c>
      <c r="H875" s="4" t="str">
        <f>HYPERLINK("http://141.218.60.56/~jnz1568/getInfo.php?workbook=10_02.xlsx&amp;sheet=A0&amp;row=875&amp;col=8&amp;number=52.307&amp;sourceID=32","52.307")</f>
        <v>52.307</v>
      </c>
      <c r="I875" s="4" t="str">
        <f>HYPERLINK("http://141.218.60.56/~jnz1568/getInfo.php?workbook=10_02.xlsx&amp;sheet=A0&amp;row=875&amp;col=9&amp;number=1.811&amp;sourceID=32","1.811")</f>
        <v>1.811</v>
      </c>
      <c r="J875" s="4" t="str">
        <f>HYPERLINK("http://141.218.60.56/~jnz1568/getInfo.php?workbook=10_02.xlsx&amp;sheet=A0&amp;row=875&amp;col=10&amp;number=&amp;sourceID=32","")</f>
        <v/>
      </c>
      <c r="K875" s="4" t="str">
        <f>HYPERLINK("http://141.218.60.56/~jnz1568/getInfo.php?workbook=10_02.xlsx&amp;sheet=A0&amp;row=875&amp;col=11&amp;number=1.7633&amp;sourceID=46","1.7633")</f>
        <v>1.7633</v>
      </c>
      <c r="L875" s="4" t="str">
        <f>HYPERLINK("http://141.218.60.56/~jnz1568/getInfo.php?workbook=10_02.xlsx&amp;sheet=A0&amp;row=875&amp;col=12&amp;number=&amp;sourceID=47","")</f>
        <v/>
      </c>
    </row>
    <row r="876" spans="1:12">
      <c r="A876" s="3">
        <v>10</v>
      </c>
      <c r="B876" s="3">
        <v>2</v>
      </c>
      <c r="C876" s="3">
        <v>49</v>
      </c>
      <c r="D876" s="3">
        <v>4</v>
      </c>
      <c r="E876" s="3">
        <f>((1/(INDEX(E0!J$4:J$52,C876,1)-INDEX(E0!J$4:J$52,D876,1))))*100000000</f>
        <v>0</v>
      </c>
      <c r="F876" s="4" t="str">
        <f>HYPERLINK("http://141.218.60.56/~jnz1568/getInfo.php?workbook=10_02.xlsx&amp;sheet=A0&amp;row=876&amp;col=6&amp;number=&amp;sourceID=27","")</f>
        <v/>
      </c>
      <c r="G876" s="4" t="str">
        <f>HYPERLINK("http://141.218.60.56/~jnz1568/getInfo.php?workbook=10_02.xlsx&amp;sheet=A0&amp;row=876&amp;col=7&amp;number=&amp;sourceID=32","")</f>
        <v/>
      </c>
      <c r="H876" s="4" t="str">
        <f>HYPERLINK("http://141.218.60.56/~jnz1568/getInfo.php?workbook=10_02.xlsx&amp;sheet=A0&amp;row=876&amp;col=8&amp;number=4130&amp;sourceID=32","4130")</f>
        <v>4130</v>
      </c>
      <c r="I876" s="4" t="str">
        <f>HYPERLINK("http://141.218.60.56/~jnz1568/getInfo.php?workbook=10_02.xlsx&amp;sheet=A0&amp;row=876&amp;col=9&amp;number=1.01&amp;sourceID=32","1.01")</f>
        <v>1.01</v>
      </c>
      <c r="J876" s="4" t="str">
        <f>HYPERLINK("http://141.218.60.56/~jnz1568/getInfo.php?workbook=10_02.xlsx&amp;sheet=A0&amp;row=876&amp;col=10&amp;number=&amp;sourceID=32","")</f>
        <v/>
      </c>
      <c r="K876" s="4" t="str">
        <f>HYPERLINK("http://141.218.60.56/~jnz1568/getInfo.php?workbook=10_02.xlsx&amp;sheet=A0&amp;row=876&amp;col=11&amp;number=6174.4&amp;sourceID=46","6174.4")</f>
        <v>6174.4</v>
      </c>
      <c r="L876" s="4" t="str">
        <f>HYPERLINK("http://141.218.60.56/~jnz1568/getInfo.php?workbook=10_02.xlsx&amp;sheet=A0&amp;row=876&amp;col=12&amp;number=&amp;sourceID=47","")</f>
        <v/>
      </c>
    </row>
    <row r="877" spans="1:12">
      <c r="A877" s="3">
        <v>10</v>
      </c>
      <c r="B877" s="3">
        <v>2</v>
      </c>
      <c r="C877" s="3">
        <v>49</v>
      </c>
      <c r="D877" s="3">
        <v>5</v>
      </c>
      <c r="E877" s="3">
        <f>((1/(INDEX(E0!J$4:J$52,C877,1)-INDEX(E0!J$4:J$52,D877,1))))*100000000</f>
        <v>0</v>
      </c>
      <c r="F877" s="4" t="str">
        <f>HYPERLINK("http://141.218.60.56/~jnz1568/getInfo.php?workbook=10_02.xlsx&amp;sheet=A0&amp;row=877&amp;col=6&amp;number=&amp;sourceID=27","")</f>
        <v/>
      </c>
      <c r="G877" s="4" t="str">
        <f>HYPERLINK("http://141.218.60.56/~jnz1568/getInfo.php?workbook=10_02.xlsx&amp;sheet=A0&amp;row=877&amp;col=7&amp;number=&amp;sourceID=32","")</f>
        <v/>
      </c>
      <c r="H877" s="4" t="str">
        <f>HYPERLINK("http://141.218.60.56/~jnz1568/getInfo.php?workbook=10_02.xlsx&amp;sheet=A0&amp;row=877&amp;col=8&amp;number=1555&amp;sourceID=32","1555")</f>
        <v>1555</v>
      </c>
      <c r="I877" s="4" t="str">
        <f>HYPERLINK("http://141.218.60.56/~jnz1568/getInfo.php?workbook=10_02.xlsx&amp;sheet=A0&amp;row=877&amp;col=9&amp;number=9.983&amp;sourceID=32","9.983")</f>
        <v>9.983</v>
      </c>
      <c r="J877" s="4" t="str">
        <f>HYPERLINK("http://141.218.60.56/~jnz1568/getInfo.php?workbook=10_02.xlsx&amp;sheet=A0&amp;row=877&amp;col=10&amp;number=&amp;sourceID=32","")</f>
        <v/>
      </c>
      <c r="K877" s="4" t="str">
        <f>HYPERLINK("http://141.218.60.56/~jnz1568/getInfo.php?workbook=10_02.xlsx&amp;sheet=A0&amp;row=877&amp;col=11&amp;number=614.7&amp;sourceID=46","614.7")</f>
        <v>614.7</v>
      </c>
      <c r="L877" s="4" t="str">
        <f>HYPERLINK("http://141.218.60.56/~jnz1568/getInfo.php?workbook=10_02.xlsx&amp;sheet=A0&amp;row=877&amp;col=12&amp;number=&amp;sourceID=47","")</f>
        <v/>
      </c>
    </row>
    <row r="878" spans="1:12">
      <c r="A878" s="3">
        <v>10</v>
      </c>
      <c r="B878" s="3">
        <v>2</v>
      </c>
      <c r="C878" s="3">
        <v>49</v>
      </c>
      <c r="D878" s="3">
        <v>6</v>
      </c>
      <c r="E878" s="3">
        <f>((1/(INDEX(E0!J$4:J$52,C878,1)-INDEX(E0!J$4:J$52,D878,1))))*100000000</f>
        <v>0</v>
      </c>
      <c r="F878" s="4" t="str">
        <f>HYPERLINK("http://141.218.60.56/~jnz1568/getInfo.php?workbook=10_02.xlsx&amp;sheet=A0&amp;row=878&amp;col=6&amp;number=&amp;sourceID=27","")</f>
        <v/>
      </c>
      <c r="G878" s="4" t="str">
        <f>HYPERLINK("http://141.218.60.56/~jnz1568/getInfo.php?workbook=10_02.xlsx&amp;sheet=A0&amp;row=878&amp;col=7&amp;number=31950000000&amp;sourceID=32","31950000000")</f>
        <v>31950000000</v>
      </c>
      <c r="H878" s="4" t="str">
        <f>HYPERLINK("http://141.218.60.56/~jnz1568/getInfo.php?workbook=10_02.xlsx&amp;sheet=A0&amp;row=878&amp;col=8&amp;number=&amp;sourceID=32","")</f>
        <v/>
      </c>
      <c r="I878" s="4" t="str">
        <f>HYPERLINK("http://141.218.60.56/~jnz1568/getInfo.php?workbook=10_02.xlsx&amp;sheet=A0&amp;row=878&amp;col=9&amp;number=&amp;sourceID=32","")</f>
        <v/>
      </c>
      <c r="J878" s="4" t="str">
        <f>HYPERLINK("http://141.218.60.56/~jnz1568/getInfo.php?workbook=10_02.xlsx&amp;sheet=A0&amp;row=878&amp;col=10&amp;number=&amp;sourceID=32","")</f>
        <v/>
      </c>
      <c r="K878" s="4" t="str">
        <f>HYPERLINK("http://141.218.60.56/~jnz1568/getInfo.php?workbook=10_02.xlsx&amp;sheet=A0&amp;row=878&amp;col=11&amp;number=34775000000&amp;sourceID=46","34775000000")</f>
        <v>34775000000</v>
      </c>
      <c r="L878" s="4" t="str">
        <f>HYPERLINK("http://141.218.60.56/~jnz1568/getInfo.php?workbook=10_02.xlsx&amp;sheet=A0&amp;row=878&amp;col=12&amp;number=&amp;sourceID=47","")</f>
        <v/>
      </c>
    </row>
    <row r="879" spans="1:12">
      <c r="A879" s="3">
        <v>10</v>
      </c>
      <c r="B879" s="3">
        <v>2</v>
      </c>
      <c r="C879" s="3">
        <v>49</v>
      </c>
      <c r="D879" s="3">
        <v>7</v>
      </c>
      <c r="E879" s="3">
        <f>((1/(INDEX(E0!J$4:J$52,C879,1)-INDEX(E0!J$4:J$52,D879,1))))*100000000</f>
        <v>0</v>
      </c>
      <c r="F879" s="4" t="str">
        <f>HYPERLINK("http://141.218.60.56/~jnz1568/getInfo.php?workbook=10_02.xlsx&amp;sheet=A0&amp;row=879&amp;col=6&amp;number=&amp;sourceID=27","")</f>
        <v/>
      </c>
      <c r="G879" s="4" t="str">
        <f>HYPERLINK("http://141.218.60.56/~jnz1568/getInfo.php?workbook=10_02.xlsx&amp;sheet=A0&amp;row=879&amp;col=7&amp;number=&amp;sourceID=32","")</f>
        <v/>
      </c>
      <c r="H879" s="4" t="str">
        <f>HYPERLINK("http://141.218.60.56/~jnz1568/getInfo.php?workbook=10_02.xlsx&amp;sheet=A0&amp;row=879&amp;col=8&amp;number=2749000&amp;sourceID=32","2749000")</f>
        <v>2749000</v>
      </c>
      <c r="I879" s="4" t="str">
        <f>HYPERLINK("http://141.218.60.56/~jnz1568/getInfo.php?workbook=10_02.xlsx&amp;sheet=A0&amp;row=879&amp;col=9&amp;number=2.317&amp;sourceID=32","2.317")</f>
        <v>2.317</v>
      </c>
      <c r="J879" s="4" t="str">
        <f>HYPERLINK("http://141.218.60.56/~jnz1568/getInfo.php?workbook=10_02.xlsx&amp;sheet=A0&amp;row=879&amp;col=10&amp;number=&amp;sourceID=32","")</f>
        <v/>
      </c>
      <c r="K879" s="4" t="str">
        <f>HYPERLINK("http://141.218.60.56/~jnz1568/getInfo.php?workbook=10_02.xlsx&amp;sheet=A0&amp;row=879&amp;col=11&amp;number=3499300&amp;sourceID=46","3499300")</f>
        <v>3499300</v>
      </c>
      <c r="L879" s="4" t="str">
        <f>HYPERLINK("http://141.218.60.56/~jnz1568/getInfo.php?workbook=10_02.xlsx&amp;sheet=A0&amp;row=879&amp;col=12&amp;number=&amp;sourceID=47","")</f>
        <v/>
      </c>
    </row>
    <row r="880" spans="1:12">
      <c r="A880" s="3">
        <v>10</v>
      </c>
      <c r="B880" s="3">
        <v>2</v>
      </c>
      <c r="C880" s="3">
        <v>49</v>
      </c>
      <c r="D880" s="3">
        <v>8</v>
      </c>
      <c r="E880" s="3">
        <f>((1/(INDEX(E0!J$4:J$52,C880,1)-INDEX(E0!J$4:J$52,D880,1))))*100000000</f>
        <v>0</v>
      </c>
      <c r="F880" s="4" t="str">
        <f>HYPERLINK("http://141.218.60.56/~jnz1568/getInfo.php?workbook=10_02.xlsx&amp;sheet=A0&amp;row=880&amp;col=6&amp;number=&amp;sourceID=27","")</f>
        <v/>
      </c>
      <c r="G880" s="4" t="str">
        <f>HYPERLINK("http://141.218.60.56/~jnz1568/getInfo.php?workbook=10_02.xlsx&amp;sheet=A0&amp;row=880&amp;col=7&amp;number=6518000&amp;sourceID=32","6518000")</f>
        <v>6518000</v>
      </c>
      <c r="H880" s="4" t="str">
        <f>HYPERLINK("http://141.218.60.56/~jnz1568/getInfo.php?workbook=10_02.xlsx&amp;sheet=A0&amp;row=880&amp;col=8&amp;number=&amp;sourceID=32","")</f>
        <v/>
      </c>
      <c r="I880" s="4" t="str">
        <f>HYPERLINK("http://141.218.60.56/~jnz1568/getInfo.php?workbook=10_02.xlsx&amp;sheet=A0&amp;row=880&amp;col=9&amp;number=&amp;sourceID=32","")</f>
        <v/>
      </c>
      <c r="J880" s="4" t="str">
        <f>HYPERLINK("http://141.218.60.56/~jnz1568/getInfo.php?workbook=10_02.xlsx&amp;sheet=A0&amp;row=880&amp;col=10&amp;number=31.97&amp;sourceID=32","31.97")</f>
        <v>31.97</v>
      </c>
      <c r="K880" s="4" t="str">
        <f>HYPERLINK("http://141.218.60.56/~jnz1568/getInfo.php?workbook=10_02.xlsx&amp;sheet=A0&amp;row=880&amp;col=11&amp;number=3428000&amp;sourceID=46","3428000")</f>
        <v>3428000</v>
      </c>
      <c r="L880" s="4" t="str">
        <f>HYPERLINK("http://141.218.60.56/~jnz1568/getInfo.php?workbook=10_02.xlsx&amp;sheet=A0&amp;row=880&amp;col=12&amp;number=&amp;sourceID=47","")</f>
        <v/>
      </c>
    </row>
    <row r="881" spans="1:12">
      <c r="A881" s="3">
        <v>10</v>
      </c>
      <c r="B881" s="3">
        <v>2</v>
      </c>
      <c r="C881" s="3">
        <v>49</v>
      </c>
      <c r="D881" s="3">
        <v>9</v>
      </c>
      <c r="E881" s="3">
        <f>((1/(INDEX(E0!J$4:J$52,C881,1)-INDEX(E0!J$4:J$52,D881,1))))*100000000</f>
        <v>0</v>
      </c>
      <c r="F881" s="4" t="str">
        <f>HYPERLINK("http://141.218.60.56/~jnz1568/getInfo.php?workbook=10_02.xlsx&amp;sheet=A0&amp;row=881&amp;col=6&amp;number=&amp;sourceID=27","")</f>
        <v/>
      </c>
      <c r="G881" s="4" t="str">
        <f>HYPERLINK("http://141.218.60.56/~jnz1568/getInfo.php?workbook=10_02.xlsx&amp;sheet=A0&amp;row=881&amp;col=7&amp;number=&amp;sourceID=32","")</f>
        <v/>
      </c>
      <c r="H881" s="4" t="str">
        <f>HYPERLINK("http://141.218.60.56/~jnz1568/getInfo.php?workbook=10_02.xlsx&amp;sheet=A0&amp;row=881&amp;col=8&amp;number=154.89&amp;sourceID=32","154.89")</f>
        <v>154.89</v>
      </c>
      <c r="I881" s="4" t="str">
        <f>HYPERLINK("http://141.218.60.56/~jnz1568/getInfo.php?workbook=10_02.xlsx&amp;sheet=A0&amp;row=881&amp;col=9&amp;number=0.3053&amp;sourceID=32","0.3053")</f>
        <v>0.3053</v>
      </c>
      <c r="J881" s="4" t="str">
        <f>HYPERLINK("http://141.218.60.56/~jnz1568/getInfo.php?workbook=10_02.xlsx&amp;sheet=A0&amp;row=881&amp;col=10&amp;number=&amp;sourceID=32","")</f>
        <v/>
      </c>
      <c r="K881" s="4" t="str">
        <f>HYPERLINK("http://141.218.60.56/~jnz1568/getInfo.php?workbook=10_02.xlsx&amp;sheet=A0&amp;row=881&amp;col=11&amp;number=&amp;sourceID=46","")</f>
        <v/>
      </c>
      <c r="L881" s="4" t="str">
        <f>HYPERLINK("http://141.218.60.56/~jnz1568/getInfo.php?workbook=10_02.xlsx&amp;sheet=A0&amp;row=881&amp;col=12&amp;number=&amp;sourceID=47","")</f>
        <v/>
      </c>
    </row>
    <row r="882" spans="1:12">
      <c r="A882" s="3">
        <v>10</v>
      </c>
      <c r="B882" s="3">
        <v>2</v>
      </c>
      <c r="C882" s="3">
        <v>49</v>
      </c>
      <c r="D882" s="3">
        <v>10</v>
      </c>
      <c r="E882" s="3">
        <f>((1/(INDEX(E0!J$4:J$52,C882,1)-INDEX(E0!J$4:J$52,D882,1))))*100000000</f>
        <v>0</v>
      </c>
      <c r="F882" s="4" t="str">
        <f>HYPERLINK("http://141.218.60.56/~jnz1568/getInfo.php?workbook=10_02.xlsx&amp;sheet=A0&amp;row=882&amp;col=6&amp;number=&amp;sourceID=27","")</f>
        <v/>
      </c>
      <c r="G882" s="4" t="str">
        <f>HYPERLINK("http://141.218.60.56/~jnz1568/getInfo.php?workbook=10_02.xlsx&amp;sheet=A0&amp;row=882&amp;col=7&amp;number=&amp;sourceID=32","")</f>
        <v/>
      </c>
      <c r="H882" s="4" t="str">
        <f>HYPERLINK("http://141.218.60.56/~jnz1568/getInfo.php?workbook=10_02.xlsx&amp;sheet=A0&amp;row=882&amp;col=8&amp;number=1182&amp;sourceID=32","1182")</f>
        <v>1182</v>
      </c>
      <c r="I882" s="4" t="str">
        <f>HYPERLINK("http://141.218.60.56/~jnz1568/getInfo.php?workbook=10_02.xlsx&amp;sheet=A0&amp;row=882&amp;col=9&amp;number=0.2139&amp;sourceID=32","0.2139")</f>
        <v>0.2139</v>
      </c>
      <c r="J882" s="4" t="str">
        <f>HYPERLINK("http://141.218.60.56/~jnz1568/getInfo.php?workbook=10_02.xlsx&amp;sheet=A0&amp;row=882&amp;col=10&amp;number=&amp;sourceID=32","")</f>
        <v/>
      </c>
      <c r="K882" s="4" t="str">
        <f>HYPERLINK("http://141.218.60.56/~jnz1568/getInfo.php?workbook=10_02.xlsx&amp;sheet=A0&amp;row=882&amp;col=11&amp;number=912.12&amp;sourceID=46","912.12")</f>
        <v>912.12</v>
      </c>
      <c r="L882" s="4" t="str">
        <f>HYPERLINK("http://141.218.60.56/~jnz1568/getInfo.php?workbook=10_02.xlsx&amp;sheet=A0&amp;row=882&amp;col=12&amp;number=&amp;sourceID=47","")</f>
        <v/>
      </c>
    </row>
    <row r="883" spans="1:12">
      <c r="A883" s="3">
        <v>10</v>
      </c>
      <c r="B883" s="3">
        <v>2</v>
      </c>
      <c r="C883" s="3">
        <v>49</v>
      </c>
      <c r="D883" s="3">
        <v>11</v>
      </c>
      <c r="E883" s="3">
        <f>((1/(INDEX(E0!J$4:J$52,C883,1)-INDEX(E0!J$4:J$52,D883,1))))*100000000</f>
        <v>0</v>
      </c>
      <c r="F883" s="4" t="str">
        <f>HYPERLINK("http://141.218.60.56/~jnz1568/getInfo.php?workbook=10_02.xlsx&amp;sheet=A0&amp;row=883&amp;col=6&amp;number=&amp;sourceID=27","")</f>
        <v/>
      </c>
      <c r="G883" s="4" t="str">
        <f>HYPERLINK("http://141.218.60.56/~jnz1568/getInfo.php?workbook=10_02.xlsx&amp;sheet=A0&amp;row=883&amp;col=7&amp;number=10210000000&amp;sourceID=32","10210000000")</f>
        <v>10210000000</v>
      </c>
      <c r="H883" s="4" t="str">
        <f>HYPERLINK("http://141.218.60.56/~jnz1568/getInfo.php?workbook=10_02.xlsx&amp;sheet=A0&amp;row=883&amp;col=8&amp;number=&amp;sourceID=32","")</f>
        <v/>
      </c>
      <c r="I883" s="4" t="str">
        <f>HYPERLINK("http://141.218.60.56/~jnz1568/getInfo.php?workbook=10_02.xlsx&amp;sheet=A0&amp;row=883&amp;col=9&amp;number=&amp;sourceID=32","")</f>
        <v/>
      </c>
      <c r="J883" s="4" t="str">
        <f>HYPERLINK("http://141.218.60.56/~jnz1568/getInfo.php?workbook=10_02.xlsx&amp;sheet=A0&amp;row=883&amp;col=10&amp;number=&amp;sourceID=32","")</f>
        <v/>
      </c>
      <c r="K883" s="4" t="str">
        <f>HYPERLINK("http://141.218.60.56/~jnz1568/getInfo.php?workbook=10_02.xlsx&amp;sheet=A0&amp;row=883&amp;col=11&amp;number=10620000000&amp;sourceID=46","10620000000")</f>
        <v>10620000000</v>
      </c>
      <c r="L883" s="4" t="str">
        <f>HYPERLINK("http://141.218.60.56/~jnz1568/getInfo.php?workbook=10_02.xlsx&amp;sheet=A0&amp;row=883&amp;col=12&amp;number=&amp;sourceID=47","")</f>
        <v/>
      </c>
    </row>
    <row r="884" spans="1:12">
      <c r="A884" s="3">
        <v>10</v>
      </c>
      <c r="B884" s="3">
        <v>2</v>
      </c>
      <c r="C884" s="3">
        <v>49</v>
      </c>
      <c r="D884" s="3">
        <v>12</v>
      </c>
      <c r="E884" s="3">
        <f>((1/(INDEX(E0!J$4:J$52,C884,1)-INDEX(E0!J$4:J$52,D884,1))))*100000000</f>
        <v>0</v>
      </c>
      <c r="F884" s="4" t="str">
        <f>HYPERLINK("http://141.218.60.56/~jnz1568/getInfo.php?workbook=10_02.xlsx&amp;sheet=A0&amp;row=884&amp;col=6&amp;number=&amp;sourceID=27","")</f>
        <v/>
      </c>
      <c r="G884" s="4" t="str">
        <f>HYPERLINK("http://141.218.60.56/~jnz1568/getInfo.php?workbook=10_02.xlsx&amp;sheet=A0&amp;row=884&amp;col=7&amp;number=&amp;sourceID=32","")</f>
        <v/>
      </c>
      <c r="H884" s="4" t="str">
        <f>HYPERLINK("http://141.218.60.56/~jnz1568/getInfo.php?workbook=10_02.xlsx&amp;sheet=A0&amp;row=884&amp;col=8&amp;number=411.2&amp;sourceID=32","411.2")</f>
        <v>411.2</v>
      </c>
      <c r="I884" s="4" t="str">
        <f>HYPERLINK("http://141.218.60.56/~jnz1568/getInfo.php?workbook=10_02.xlsx&amp;sheet=A0&amp;row=884&amp;col=9&amp;number=0.7056&amp;sourceID=32","0.7056")</f>
        <v>0.7056</v>
      </c>
      <c r="J884" s="4" t="str">
        <f>HYPERLINK("http://141.218.60.56/~jnz1568/getInfo.php?workbook=10_02.xlsx&amp;sheet=A0&amp;row=884&amp;col=10&amp;number=&amp;sourceID=32","")</f>
        <v/>
      </c>
      <c r="K884" s="4" t="str">
        <f>HYPERLINK("http://141.218.60.56/~jnz1568/getInfo.php?workbook=10_02.xlsx&amp;sheet=A0&amp;row=884&amp;col=11&amp;number=237.22&amp;sourceID=46","237.22")</f>
        <v>237.22</v>
      </c>
      <c r="L884" s="4" t="str">
        <f>HYPERLINK("http://141.218.60.56/~jnz1568/getInfo.php?workbook=10_02.xlsx&amp;sheet=A0&amp;row=884&amp;col=12&amp;number=&amp;sourceID=47","")</f>
        <v/>
      </c>
    </row>
    <row r="885" spans="1:12">
      <c r="A885" s="3">
        <v>10</v>
      </c>
      <c r="B885" s="3">
        <v>2</v>
      </c>
      <c r="C885" s="3">
        <v>49</v>
      </c>
      <c r="D885" s="3">
        <v>13</v>
      </c>
      <c r="E885" s="3">
        <f>((1/(INDEX(E0!J$4:J$52,C885,1)-INDEX(E0!J$4:J$52,D885,1))))*100000000</f>
        <v>0</v>
      </c>
      <c r="F885" s="4" t="str">
        <f>HYPERLINK("http://141.218.60.56/~jnz1568/getInfo.php?workbook=10_02.xlsx&amp;sheet=A0&amp;row=885&amp;col=6&amp;number=&amp;sourceID=27","")</f>
        <v/>
      </c>
      <c r="G885" s="4" t="str">
        <f>HYPERLINK("http://141.218.60.56/~jnz1568/getInfo.php?workbook=10_02.xlsx&amp;sheet=A0&amp;row=885&amp;col=7&amp;number=159400&amp;sourceID=32","159400")</f>
        <v>159400</v>
      </c>
      <c r="H885" s="4" t="str">
        <f>HYPERLINK("http://141.218.60.56/~jnz1568/getInfo.php?workbook=10_02.xlsx&amp;sheet=A0&amp;row=885&amp;col=8&amp;number=&amp;sourceID=32","")</f>
        <v/>
      </c>
      <c r="I885" s="4" t="str">
        <f>HYPERLINK("http://141.218.60.56/~jnz1568/getInfo.php?workbook=10_02.xlsx&amp;sheet=A0&amp;row=885&amp;col=9&amp;number=&amp;sourceID=32","")</f>
        <v/>
      </c>
      <c r="J885" s="4" t="str">
        <f>HYPERLINK("http://141.218.60.56/~jnz1568/getInfo.php?workbook=10_02.xlsx&amp;sheet=A0&amp;row=885&amp;col=10&amp;number=0.02476&amp;sourceID=32","0.02476")</f>
        <v>0.02476</v>
      </c>
      <c r="K885" s="4" t="str">
        <f>HYPERLINK("http://141.218.60.56/~jnz1568/getInfo.php?workbook=10_02.xlsx&amp;sheet=A0&amp;row=885&amp;col=11&amp;number=88552&amp;sourceID=46","88552")</f>
        <v>88552</v>
      </c>
      <c r="L885" s="4" t="str">
        <f>HYPERLINK("http://141.218.60.56/~jnz1568/getInfo.php?workbook=10_02.xlsx&amp;sheet=A0&amp;row=885&amp;col=12&amp;number=&amp;sourceID=47","")</f>
        <v/>
      </c>
    </row>
    <row r="886" spans="1:12">
      <c r="A886" s="3">
        <v>10</v>
      </c>
      <c r="B886" s="3">
        <v>2</v>
      </c>
      <c r="C886" s="3">
        <v>49</v>
      </c>
      <c r="D886" s="3">
        <v>14</v>
      </c>
      <c r="E886" s="3">
        <f>((1/(INDEX(E0!J$4:J$52,C886,1)-INDEX(E0!J$4:J$52,D886,1))))*100000000</f>
        <v>0</v>
      </c>
      <c r="F886" s="4" t="str">
        <f>HYPERLINK("http://141.218.60.56/~jnz1568/getInfo.php?workbook=10_02.xlsx&amp;sheet=A0&amp;row=886&amp;col=6&amp;number=&amp;sourceID=27","")</f>
        <v/>
      </c>
      <c r="G886" s="4" t="str">
        <f>HYPERLINK("http://141.218.60.56/~jnz1568/getInfo.php?workbook=10_02.xlsx&amp;sheet=A0&amp;row=886&amp;col=7&amp;number=31200000&amp;sourceID=32","31200000")</f>
        <v>31200000</v>
      </c>
      <c r="H886" s="4" t="str">
        <f>HYPERLINK("http://141.218.60.56/~jnz1568/getInfo.php?workbook=10_02.xlsx&amp;sheet=A0&amp;row=886&amp;col=8&amp;number=&amp;sourceID=32","")</f>
        <v/>
      </c>
      <c r="I886" s="4" t="str">
        <f>HYPERLINK("http://141.218.60.56/~jnz1568/getInfo.php?workbook=10_02.xlsx&amp;sheet=A0&amp;row=886&amp;col=9&amp;number=&amp;sourceID=32","")</f>
        <v/>
      </c>
      <c r="J886" s="4" t="str">
        <f>HYPERLINK("http://141.218.60.56/~jnz1568/getInfo.php?workbook=10_02.xlsx&amp;sheet=A0&amp;row=886&amp;col=10&amp;number=0.1882&amp;sourceID=32","0.1882")</f>
        <v>0.1882</v>
      </c>
      <c r="K886" s="4" t="str">
        <f>HYPERLINK("http://141.218.60.56/~jnz1568/getInfo.php?workbook=10_02.xlsx&amp;sheet=A0&amp;row=886&amp;col=11&amp;number=20754000&amp;sourceID=46","20754000")</f>
        <v>20754000</v>
      </c>
      <c r="L886" s="4" t="str">
        <f>HYPERLINK("http://141.218.60.56/~jnz1568/getInfo.php?workbook=10_02.xlsx&amp;sheet=A0&amp;row=886&amp;col=12&amp;number=&amp;sourceID=47","")</f>
        <v/>
      </c>
    </row>
    <row r="887" spans="1:12">
      <c r="A887" s="3">
        <v>10</v>
      </c>
      <c r="B887" s="3">
        <v>2</v>
      </c>
      <c r="C887" s="3">
        <v>49</v>
      </c>
      <c r="D887" s="3">
        <v>15</v>
      </c>
      <c r="E887" s="3">
        <f>((1/(INDEX(E0!J$4:J$52,C887,1)-INDEX(E0!J$4:J$52,D887,1))))*100000000</f>
        <v>0</v>
      </c>
      <c r="F887" s="4" t="str">
        <f>HYPERLINK("http://141.218.60.56/~jnz1568/getInfo.php?workbook=10_02.xlsx&amp;sheet=A0&amp;row=887&amp;col=6&amp;number=&amp;sourceID=27","")</f>
        <v/>
      </c>
      <c r="G887" s="4" t="str">
        <f>HYPERLINK("http://141.218.60.56/~jnz1568/getInfo.php?workbook=10_02.xlsx&amp;sheet=A0&amp;row=887&amp;col=7&amp;number=&amp;sourceID=32","")</f>
        <v/>
      </c>
      <c r="H887" s="4" t="str">
        <f>HYPERLINK("http://141.218.60.56/~jnz1568/getInfo.php?workbook=10_02.xlsx&amp;sheet=A0&amp;row=887&amp;col=8&amp;number=&amp;sourceID=32","")</f>
        <v/>
      </c>
      <c r="I887" s="4" t="str">
        <f>HYPERLINK("http://141.218.60.56/~jnz1568/getInfo.php?workbook=10_02.xlsx&amp;sheet=A0&amp;row=887&amp;col=9&amp;number=&amp;sourceID=32","")</f>
        <v/>
      </c>
      <c r="J887" s="4" t="str">
        <f>HYPERLINK("http://141.218.60.56/~jnz1568/getInfo.php?workbook=10_02.xlsx&amp;sheet=A0&amp;row=887&amp;col=10&amp;number=2.257&amp;sourceID=32","2.257")</f>
        <v>2.257</v>
      </c>
      <c r="K887" s="4" t="str">
        <f>HYPERLINK("http://141.218.60.56/~jnz1568/getInfo.php?workbook=10_02.xlsx&amp;sheet=A0&amp;row=887&amp;col=11&amp;number=2.2655&amp;sourceID=46","2.2655")</f>
        <v>2.2655</v>
      </c>
      <c r="L887" s="4" t="str">
        <f>HYPERLINK("http://141.218.60.56/~jnz1568/getInfo.php?workbook=10_02.xlsx&amp;sheet=A0&amp;row=887&amp;col=12&amp;number=&amp;sourceID=47","")</f>
        <v/>
      </c>
    </row>
    <row r="888" spans="1:12">
      <c r="A888" s="3">
        <v>10</v>
      </c>
      <c r="B888" s="3">
        <v>2</v>
      </c>
      <c r="C888" s="3">
        <v>49</v>
      </c>
      <c r="D888" s="3">
        <v>16</v>
      </c>
      <c r="E888" s="3">
        <f>((1/(INDEX(E0!J$4:J$52,C888,1)-INDEX(E0!J$4:J$52,D888,1))))*100000000</f>
        <v>0</v>
      </c>
      <c r="F888" s="4" t="str">
        <f>HYPERLINK("http://141.218.60.56/~jnz1568/getInfo.php?workbook=10_02.xlsx&amp;sheet=A0&amp;row=888&amp;col=6&amp;number=&amp;sourceID=27","")</f>
        <v/>
      </c>
      <c r="G888" s="4" t="str">
        <f>HYPERLINK("http://141.218.60.56/~jnz1568/getInfo.php?workbook=10_02.xlsx&amp;sheet=A0&amp;row=888&amp;col=7&amp;number=898300000&amp;sourceID=32","898300000")</f>
        <v>898300000</v>
      </c>
      <c r="H888" s="4" t="str">
        <f>HYPERLINK("http://141.218.60.56/~jnz1568/getInfo.php?workbook=10_02.xlsx&amp;sheet=A0&amp;row=888&amp;col=8&amp;number=&amp;sourceID=32","")</f>
        <v/>
      </c>
      <c r="I888" s="4" t="str">
        <f>HYPERLINK("http://141.218.60.56/~jnz1568/getInfo.php?workbook=10_02.xlsx&amp;sheet=A0&amp;row=888&amp;col=9&amp;number=&amp;sourceID=32","")</f>
        <v/>
      </c>
      <c r="J888" s="4" t="str">
        <f>HYPERLINK("http://141.218.60.56/~jnz1568/getInfo.php?workbook=10_02.xlsx&amp;sheet=A0&amp;row=888&amp;col=10&amp;number=1.423&amp;sourceID=32","1.423")</f>
        <v>1.423</v>
      </c>
      <c r="K888" s="4" t="str">
        <f>HYPERLINK("http://141.218.60.56/~jnz1568/getInfo.php?workbook=10_02.xlsx&amp;sheet=A0&amp;row=888&amp;col=11&amp;number=929430000&amp;sourceID=46","929430000")</f>
        <v>929430000</v>
      </c>
      <c r="L888" s="4" t="str">
        <f>HYPERLINK("http://141.218.60.56/~jnz1568/getInfo.php?workbook=10_02.xlsx&amp;sheet=A0&amp;row=888&amp;col=12&amp;number=&amp;sourceID=47","")</f>
        <v/>
      </c>
    </row>
    <row r="889" spans="1:12">
      <c r="A889" s="3">
        <v>10</v>
      </c>
      <c r="B889" s="3">
        <v>2</v>
      </c>
      <c r="C889" s="3">
        <v>49</v>
      </c>
      <c r="D889" s="3">
        <v>17</v>
      </c>
      <c r="E889" s="3">
        <f>((1/(INDEX(E0!J$4:J$52,C889,1)-INDEX(E0!J$4:J$52,D889,1))))*100000000</f>
        <v>0</v>
      </c>
      <c r="F889" s="4" t="str">
        <f>HYPERLINK("http://141.218.60.56/~jnz1568/getInfo.php?workbook=10_02.xlsx&amp;sheet=A0&amp;row=889&amp;col=6&amp;number=&amp;sourceID=27","")</f>
        <v/>
      </c>
      <c r="G889" s="4" t="str">
        <f>HYPERLINK("http://141.218.60.56/~jnz1568/getInfo.php?workbook=10_02.xlsx&amp;sheet=A0&amp;row=889&amp;col=7&amp;number=&amp;sourceID=32","")</f>
        <v/>
      </c>
      <c r="H889" s="4" t="str">
        <f>HYPERLINK("http://141.218.60.56/~jnz1568/getInfo.php?workbook=10_02.xlsx&amp;sheet=A0&amp;row=889&amp;col=8&amp;number=750200&amp;sourceID=32","750200")</f>
        <v>750200</v>
      </c>
      <c r="I889" s="4" t="str">
        <f>HYPERLINK("http://141.218.60.56/~jnz1568/getInfo.php?workbook=10_02.xlsx&amp;sheet=A0&amp;row=889&amp;col=9&amp;number=0.07374&amp;sourceID=32","0.07374")</f>
        <v>0.07374</v>
      </c>
      <c r="J889" s="4" t="str">
        <f>HYPERLINK("http://141.218.60.56/~jnz1568/getInfo.php?workbook=10_02.xlsx&amp;sheet=A0&amp;row=889&amp;col=10&amp;number=&amp;sourceID=32","")</f>
        <v/>
      </c>
      <c r="K889" s="4" t="str">
        <f>HYPERLINK("http://141.218.60.56/~jnz1568/getInfo.php?workbook=10_02.xlsx&amp;sheet=A0&amp;row=889&amp;col=11&amp;number=782620&amp;sourceID=46","782620")</f>
        <v>782620</v>
      </c>
      <c r="L889" s="4" t="str">
        <f>HYPERLINK("http://141.218.60.56/~jnz1568/getInfo.php?workbook=10_02.xlsx&amp;sheet=A0&amp;row=889&amp;col=12&amp;number=&amp;sourceID=47","")</f>
        <v/>
      </c>
    </row>
    <row r="890" spans="1:12">
      <c r="A890" s="3">
        <v>10</v>
      </c>
      <c r="B890" s="3">
        <v>2</v>
      </c>
      <c r="C890" s="3">
        <v>49</v>
      </c>
      <c r="D890" s="3">
        <v>18</v>
      </c>
      <c r="E890" s="3">
        <f>((1/(INDEX(E0!J$4:J$52,C890,1)-INDEX(E0!J$4:J$52,D890,1))))*100000000</f>
        <v>0</v>
      </c>
      <c r="F890" s="4" t="str">
        <f>HYPERLINK("http://141.218.60.56/~jnz1568/getInfo.php?workbook=10_02.xlsx&amp;sheet=A0&amp;row=890&amp;col=6&amp;number=&amp;sourceID=27","")</f>
        <v/>
      </c>
      <c r="G890" s="4" t="str">
        <f>HYPERLINK("http://141.218.60.56/~jnz1568/getInfo.php?workbook=10_02.xlsx&amp;sheet=A0&amp;row=890&amp;col=7&amp;number=2643000&amp;sourceID=32","2643000")</f>
        <v>2643000</v>
      </c>
      <c r="H890" s="4" t="str">
        <f>HYPERLINK("http://141.218.60.56/~jnz1568/getInfo.php?workbook=10_02.xlsx&amp;sheet=A0&amp;row=890&amp;col=8&amp;number=&amp;sourceID=32","")</f>
        <v/>
      </c>
      <c r="I890" s="4" t="str">
        <f>HYPERLINK("http://141.218.60.56/~jnz1568/getInfo.php?workbook=10_02.xlsx&amp;sheet=A0&amp;row=890&amp;col=9&amp;number=&amp;sourceID=32","")</f>
        <v/>
      </c>
      <c r="J890" s="4" t="str">
        <f>HYPERLINK("http://141.218.60.56/~jnz1568/getInfo.php?workbook=10_02.xlsx&amp;sheet=A0&amp;row=890&amp;col=10&amp;number=1.347&amp;sourceID=32","1.347")</f>
        <v>1.347</v>
      </c>
      <c r="K890" s="4" t="str">
        <f>HYPERLINK("http://141.218.60.56/~jnz1568/getInfo.php?workbook=10_02.xlsx&amp;sheet=A0&amp;row=890&amp;col=11&amp;number=1570400&amp;sourceID=46","1570400")</f>
        <v>1570400</v>
      </c>
      <c r="L890" s="4" t="str">
        <f>HYPERLINK("http://141.218.60.56/~jnz1568/getInfo.php?workbook=10_02.xlsx&amp;sheet=A0&amp;row=890&amp;col=12&amp;number=&amp;sourceID=47","")</f>
        <v/>
      </c>
    </row>
    <row r="891" spans="1:12">
      <c r="A891" s="3">
        <v>10</v>
      </c>
      <c r="B891" s="3">
        <v>2</v>
      </c>
      <c r="C891" s="3">
        <v>49</v>
      </c>
      <c r="D891" s="3">
        <v>19</v>
      </c>
      <c r="E891" s="3">
        <f>((1/(INDEX(E0!J$4:J$52,C891,1)-INDEX(E0!J$4:J$52,D891,1))))*100000000</f>
        <v>0</v>
      </c>
      <c r="F891" s="4" t="str">
        <f>HYPERLINK("http://141.218.60.56/~jnz1568/getInfo.php?workbook=10_02.xlsx&amp;sheet=A0&amp;row=891&amp;col=6&amp;number=&amp;sourceID=27","")</f>
        <v/>
      </c>
      <c r="G891" s="4" t="str">
        <f>HYPERLINK("http://141.218.60.56/~jnz1568/getInfo.php?workbook=10_02.xlsx&amp;sheet=A0&amp;row=891&amp;col=7&amp;number=&amp;sourceID=32","")</f>
        <v/>
      </c>
      <c r="H891" s="4" t="str">
        <f>HYPERLINK("http://141.218.60.56/~jnz1568/getInfo.php?workbook=10_02.xlsx&amp;sheet=A0&amp;row=891&amp;col=8&amp;number=485.41&amp;sourceID=32","485.41")</f>
        <v>485.41</v>
      </c>
      <c r="I891" s="4" t="str">
        <f>HYPERLINK("http://141.218.60.56/~jnz1568/getInfo.php?workbook=10_02.xlsx&amp;sheet=A0&amp;row=891&amp;col=9&amp;number=0.05174&amp;sourceID=32","0.05174")</f>
        <v>0.05174</v>
      </c>
      <c r="J891" s="4" t="str">
        <f>HYPERLINK("http://141.218.60.56/~jnz1568/getInfo.php?workbook=10_02.xlsx&amp;sheet=A0&amp;row=891&amp;col=10&amp;number=&amp;sourceID=32","")</f>
        <v/>
      </c>
      <c r="K891" s="4" t="str">
        <f>HYPERLINK("http://141.218.60.56/~jnz1568/getInfo.php?workbook=10_02.xlsx&amp;sheet=A0&amp;row=891&amp;col=11&amp;number=&amp;sourceID=46","")</f>
        <v/>
      </c>
      <c r="L891" s="4" t="str">
        <f>HYPERLINK("http://141.218.60.56/~jnz1568/getInfo.php?workbook=10_02.xlsx&amp;sheet=A0&amp;row=891&amp;col=12&amp;number=&amp;sourceID=47","")</f>
        <v/>
      </c>
    </row>
    <row r="892" spans="1:12">
      <c r="A892" s="3">
        <v>10</v>
      </c>
      <c r="B892" s="3">
        <v>2</v>
      </c>
      <c r="C892" s="3">
        <v>49</v>
      </c>
      <c r="D892" s="3">
        <v>20</v>
      </c>
      <c r="E892" s="3">
        <f>((1/(INDEX(E0!J$4:J$52,C892,1)-INDEX(E0!J$4:J$52,D892,1))))*100000000</f>
        <v>0</v>
      </c>
      <c r="F892" s="4" t="str">
        <f>HYPERLINK("http://141.218.60.56/~jnz1568/getInfo.php?workbook=10_02.xlsx&amp;sheet=A0&amp;row=892&amp;col=6&amp;number=&amp;sourceID=27","")</f>
        <v/>
      </c>
      <c r="G892" s="4" t="str">
        <f>HYPERLINK("http://141.218.60.56/~jnz1568/getInfo.php?workbook=10_02.xlsx&amp;sheet=A0&amp;row=892&amp;col=7&amp;number=&amp;sourceID=32","")</f>
        <v/>
      </c>
      <c r="H892" s="4" t="str">
        <f>HYPERLINK("http://141.218.60.56/~jnz1568/getInfo.php?workbook=10_02.xlsx&amp;sheet=A0&amp;row=892&amp;col=8&amp;number=372.7&amp;sourceID=32","372.7")</f>
        <v>372.7</v>
      </c>
      <c r="I892" s="4" t="str">
        <f>HYPERLINK("http://141.218.60.56/~jnz1568/getInfo.php?workbook=10_02.xlsx&amp;sheet=A0&amp;row=892&amp;col=9&amp;number=0.03934&amp;sourceID=32","0.03934")</f>
        <v>0.03934</v>
      </c>
      <c r="J892" s="4" t="str">
        <f>HYPERLINK("http://141.218.60.56/~jnz1568/getInfo.php?workbook=10_02.xlsx&amp;sheet=A0&amp;row=892&amp;col=10&amp;number=&amp;sourceID=32","")</f>
        <v/>
      </c>
      <c r="K892" s="4" t="str">
        <f>HYPERLINK("http://141.218.60.56/~jnz1568/getInfo.php?workbook=10_02.xlsx&amp;sheet=A0&amp;row=892&amp;col=11&amp;number=250.96&amp;sourceID=46","250.96")</f>
        <v>250.96</v>
      </c>
      <c r="L892" s="4" t="str">
        <f>HYPERLINK("http://141.218.60.56/~jnz1568/getInfo.php?workbook=10_02.xlsx&amp;sheet=A0&amp;row=892&amp;col=12&amp;number=&amp;sourceID=47","")</f>
        <v/>
      </c>
    </row>
    <row r="893" spans="1:12">
      <c r="A893" s="3">
        <v>10</v>
      </c>
      <c r="B893" s="3">
        <v>2</v>
      </c>
      <c r="C893" s="3">
        <v>49</v>
      </c>
      <c r="D893" s="3">
        <v>21</v>
      </c>
      <c r="E893" s="3">
        <f>((1/(INDEX(E0!J$4:J$52,C893,1)-INDEX(E0!J$4:J$52,D893,1))))*100000000</f>
        <v>0</v>
      </c>
      <c r="F893" s="4" t="str">
        <f>HYPERLINK("http://141.218.60.56/~jnz1568/getInfo.php?workbook=10_02.xlsx&amp;sheet=A0&amp;row=893&amp;col=6&amp;number=&amp;sourceID=27","")</f>
        <v/>
      </c>
      <c r="G893" s="4" t="str">
        <f>HYPERLINK("http://141.218.60.56/~jnz1568/getInfo.php?workbook=10_02.xlsx&amp;sheet=A0&amp;row=893&amp;col=7&amp;number=4404000000&amp;sourceID=32","4404000000")</f>
        <v>4404000000</v>
      </c>
      <c r="H893" s="4" t="str">
        <f>HYPERLINK("http://141.218.60.56/~jnz1568/getInfo.php?workbook=10_02.xlsx&amp;sheet=A0&amp;row=893&amp;col=8&amp;number=&amp;sourceID=32","")</f>
        <v/>
      </c>
      <c r="I893" s="4" t="str">
        <f>HYPERLINK("http://141.218.60.56/~jnz1568/getInfo.php?workbook=10_02.xlsx&amp;sheet=A0&amp;row=893&amp;col=9&amp;number=&amp;sourceID=32","")</f>
        <v/>
      </c>
      <c r="J893" s="4" t="str">
        <f>HYPERLINK("http://141.218.60.56/~jnz1568/getInfo.php?workbook=10_02.xlsx&amp;sheet=A0&amp;row=893&amp;col=10&amp;number=&amp;sourceID=32","")</f>
        <v/>
      </c>
      <c r="K893" s="4" t="str">
        <f>HYPERLINK("http://141.218.60.56/~jnz1568/getInfo.php?workbook=10_02.xlsx&amp;sheet=A0&amp;row=893&amp;col=11&amp;number=4451900000&amp;sourceID=46","4451900000")</f>
        <v>4451900000</v>
      </c>
      <c r="L893" s="4" t="str">
        <f>HYPERLINK("http://141.218.60.56/~jnz1568/getInfo.php?workbook=10_02.xlsx&amp;sheet=A0&amp;row=893&amp;col=12&amp;number=&amp;sourceID=47","")</f>
        <v/>
      </c>
    </row>
    <row r="894" spans="1:12">
      <c r="A894" s="3">
        <v>10</v>
      </c>
      <c r="B894" s="3">
        <v>2</v>
      </c>
      <c r="C894" s="3">
        <v>49</v>
      </c>
      <c r="D894" s="3">
        <v>22</v>
      </c>
      <c r="E894" s="3">
        <f>((1/(INDEX(E0!J$4:J$52,C894,1)-INDEX(E0!J$4:J$52,D894,1))))*100000000</f>
        <v>0</v>
      </c>
      <c r="F894" s="4" t="str">
        <f>HYPERLINK("http://141.218.60.56/~jnz1568/getInfo.php?workbook=10_02.xlsx&amp;sheet=A0&amp;row=894&amp;col=6&amp;number=&amp;sourceID=27","")</f>
        <v/>
      </c>
      <c r="G894" s="4" t="str">
        <f>HYPERLINK("http://141.218.60.56/~jnz1568/getInfo.php?workbook=10_02.xlsx&amp;sheet=A0&amp;row=894&amp;col=7&amp;number=&amp;sourceID=32","")</f>
        <v/>
      </c>
      <c r="H894" s="4" t="str">
        <f>HYPERLINK("http://141.218.60.56/~jnz1568/getInfo.php?workbook=10_02.xlsx&amp;sheet=A0&amp;row=894&amp;col=8&amp;number=126.1&amp;sourceID=32","126.1")</f>
        <v>126.1</v>
      </c>
      <c r="I894" s="4" t="str">
        <f>HYPERLINK("http://141.218.60.56/~jnz1568/getInfo.php?workbook=10_02.xlsx&amp;sheet=A0&amp;row=894&amp;col=9&amp;number=0.0725&amp;sourceID=32","0.0725")</f>
        <v>0.0725</v>
      </c>
      <c r="J894" s="4" t="str">
        <f>HYPERLINK("http://141.218.60.56/~jnz1568/getInfo.php?workbook=10_02.xlsx&amp;sheet=A0&amp;row=894&amp;col=10&amp;number=&amp;sourceID=32","")</f>
        <v/>
      </c>
      <c r="K894" s="4" t="str">
        <f>HYPERLINK("http://141.218.60.56/~jnz1568/getInfo.php?workbook=10_02.xlsx&amp;sheet=A0&amp;row=894&amp;col=11&amp;number=79.474&amp;sourceID=46","79.474")</f>
        <v>79.474</v>
      </c>
      <c r="L894" s="4" t="str">
        <f>HYPERLINK("http://141.218.60.56/~jnz1568/getInfo.php?workbook=10_02.xlsx&amp;sheet=A0&amp;row=894&amp;col=12&amp;number=&amp;sourceID=47","")</f>
        <v/>
      </c>
    </row>
    <row r="895" spans="1:12">
      <c r="A895" s="3">
        <v>10</v>
      </c>
      <c r="B895" s="3">
        <v>2</v>
      </c>
      <c r="C895" s="3">
        <v>49</v>
      </c>
      <c r="D895" s="3">
        <v>23</v>
      </c>
      <c r="E895" s="3">
        <f>((1/(INDEX(E0!J$4:J$52,C895,1)-INDEX(E0!J$4:J$52,D895,1))))*100000000</f>
        <v>0</v>
      </c>
      <c r="F895" s="4" t="str">
        <f>HYPERLINK("http://141.218.60.56/~jnz1568/getInfo.php?workbook=10_02.xlsx&amp;sheet=A0&amp;row=895&amp;col=6&amp;number=&amp;sourceID=27","")</f>
        <v/>
      </c>
      <c r="G895" s="4" t="str">
        <f>HYPERLINK("http://141.218.60.56/~jnz1568/getInfo.php?workbook=10_02.xlsx&amp;sheet=A0&amp;row=895&amp;col=7&amp;number=201300&amp;sourceID=32","201300")</f>
        <v>201300</v>
      </c>
      <c r="H895" s="4" t="str">
        <f>HYPERLINK("http://141.218.60.56/~jnz1568/getInfo.php?workbook=10_02.xlsx&amp;sheet=A0&amp;row=895&amp;col=8&amp;number=&amp;sourceID=32","")</f>
        <v/>
      </c>
      <c r="I895" s="4" t="str">
        <f>HYPERLINK("http://141.218.60.56/~jnz1568/getInfo.php?workbook=10_02.xlsx&amp;sheet=A0&amp;row=895&amp;col=9&amp;number=&amp;sourceID=32","")</f>
        <v/>
      </c>
      <c r="J895" s="4" t="str">
        <f>HYPERLINK("http://141.218.60.56/~jnz1568/getInfo.php?workbook=10_02.xlsx&amp;sheet=A0&amp;row=895&amp;col=10&amp;number=0.003169&amp;sourceID=32","0.003169")</f>
        <v>0.003169</v>
      </c>
      <c r="K895" s="4" t="str">
        <f>HYPERLINK("http://141.218.60.56/~jnz1568/getInfo.php?workbook=10_02.xlsx&amp;sheet=A0&amp;row=895&amp;col=11&amp;number=122530&amp;sourceID=46","122530")</f>
        <v>122530</v>
      </c>
      <c r="L895" s="4" t="str">
        <f>HYPERLINK("http://141.218.60.56/~jnz1568/getInfo.php?workbook=10_02.xlsx&amp;sheet=A0&amp;row=895&amp;col=12&amp;number=&amp;sourceID=47","")</f>
        <v/>
      </c>
    </row>
    <row r="896" spans="1:12">
      <c r="A896" s="3">
        <v>10</v>
      </c>
      <c r="B896" s="3">
        <v>2</v>
      </c>
      <c r="C896" s="3">
        <v>49</v>
      </c>
      <c r="D896" s="3">
        <v>24</v>
      </c>
      <c r="E896" s="3">
        <f>((1/(INDEX(E0!J$4:J$52,C896,1)-INDEX(E0!J$4:J$52,D896,1))))*100000000</f>
        <v>0</v>
      </c>
      <c r="F896" s="4" t="str">
        <f>HYPERLINK("http://141.218.60.56/~jnz1568/getInfo.php?workbook=10_02.xlsx&amp;sheet=A0&amp;row=896&amp;col=6&amp;number=&amp;sourceID=27","")</f>
        <v/>
      </c>
      <c r="G896" s="4" t="str">
        <f>HYPERLINK("http://141.218.60.56/~jnz1568/getInfo.php?workbook=10_02.xlsx&amp;sheet=A0&amp;row=896&amp;col=7&amp;number=24240000&amp;sourceID=32","24240000")</f>
        <v>24240000</v>
      </c>
      <c r="H896" s="4" t="str">
        <f>HYPERLINK("http://141.218.60.56/~jnz1568/getInfo.php?workbook=10_02.xlsx&amp;sheet=A0&amp;row=896&amp;col=8&amp;number=&amp;sourceID=32","")</f>
        <v/>
      </c>
      <c r="I896" s="4" t="str">
        <f>HYPERLINK("http://141.218.60.56/~jnz1568/getInfo.php?workbook=10_02.xlsx&amp;sheet=A0&amp;row=896&amp;col=9&amp;number=&amp;sourceID=32","")</f>
        <v/>
      </c>
      <c r="J896" s="4" t="str">
        <f>HYPERLINK("http://141.218.60.56/~jnz1568/getInfo.php?workbook=10_02.xlsx&amp;sheet=A0&amp;row=896&amp;col=10&amp;number=0.02958&amp;sourceID=32","0.02958")</f>
        <v>0.02958</v>
      </c>
      <c r="K896" s="4" t="str">
        <f>HYPERLINK("http://141.218.60.56/~jnz1568/getInfo.php?workbook=10_02.xlsx&amp;sheet=A0&amp;row=896&amp;col=11&amp;number=15247000&amp;sourceID=46","15247000")</f>
        <v>15247000</v>
      </c>
      <c r="L896" s="4" t="str">
        <f>HYPERLINK("http://141.218.60.56/~jnz1568/getInfo.php?workbook=10_02.xlsx&amp;sheet=A0&amp;row=896&amp;col=12&amp;number=&amp;sourceID=47","")</f>
        <v/>
      </c>
    </row>
    <row r="897" spans="1:12">
      <c r="A897" s="3">
        <v>10</v>
      </c>
      <c r="B897" s="3">
        <v>2</v>
      </c>
      <c r="C897" s="3">
        <v>49</v>
      </c>
      <c r="D897" s="3">
        <v>25</v>
      </c>
      <c r="E897" s="3">
        <f>((1/(INDEX(E0!J$4:J$52,C897,1)-INDEX(E0!J$4:J$52,D897,1))))*100000000</f>
        <v>0</v>
      </c>
      <c r="F897" s="4" t="str">
        <f>HYPERLINK("http://141.218.60.56/~jnz1568/getInfo.php?workbook=10_02.xlsx&amp;sheet=A0&amp;row=897&amp;col=6&amp;number=&amp;sourceID=27","")</f>
        <v/>
      </c>
      <c r="G897" s="4" t="str">
        <f>HYPERLINK("http://141.218.60.56/~jnz1568/getInfo.php?workbook=10_02.xlsx&amp;sheet=A0&amp;row=897&amp;col=7&amp;number=&amp;sourceID=32","")</f>
        <v/>
      </c>
      <c r="H897" s="4" t="str">
        <f>HYPERLINK("http://141.218.60.56/~jnz1568/getInfo.php?workbook=10_02.xlsx&amp;sheet=A0&amp;row=897&amp;col=8&amp;number=&amp;sourceID=32","")</f>
        <v/>
      </c>
      <c r="I897" s="4" t="str">
        <f>HYPERLINK("http://141.218.60.56/~jnz1568/getInfo.php?workbook=10_02.xlsx&amp;sheet=A0&amp;row=897&amp;col=9&amp;number=&amp;sourceID=32","")</f>
        <v/>
      </c>
      <c r="J897" s="4" t="str">
        <f>HYPERLINK("http://141.218.60.56/~jnz1568/getInfo.php?workbook=10_02.xlsx&amp;sheet=A0&amp;row=897&amp;col=10&amp;number=0.2875&amp;sourceID=32","0.2875")</f>
        <v>0.2875</v>
      </c>
      <c r="K897" s="4" t="str">
        <f>HYPERLINK("http://141.218.60.56/~jnz1568/getInfo.php?workbook=10_02.xlsx&amp;sheet=A0&amp;row=897&amp;col=11&amp;number=&amp;sourceID=46","")</f>
        <v/>
      </c>
      <c r="L897" s="4" t="str">
        <f>HYPERLINK("http://141.218.60.56/~jnz1568/getInfo.php?workbook=10_02.xlsx&amp;sheet=A0&amp;row=897&amp;col=12&amp;number=&amp;sourceID=47","")</f>
        <v/>
      </c>
    </row>
    <row r="898" spans="1:12">
      <c r="A898" s="3">
        <v>10</v>
      </c>
      <c r="B898" s="3">
        <v>2</v>
      </c>
      <c r="C898" s="3">
        <v>49</v>
      </c>
      <c r="D898" s="3">
        <v>26</v>
      </c>
      <c r="E898" s="3">
        <f>((1/(INDEX(E0!J$4:J$52,C898,1)-INDEX(E0!J$4:J$52,D898,1))))*100000000</f>
        <v>0</v>
      </c>
      <c r="F898" s="4" t="str">
        <f>HYPERLINK("http://141.218.60.56/~jnz1568/getInfo.php?workbook=10_02.xlsx&amp;sheet=A0&amp;row=898&amp;col=6&amp;number=&amp;sourceID=27","")</f>
        <v/>
      </c>
      <c r="G898" s="4" t="str">
        <f>HYPERLINK("http://141.218.60.56/~jnz1568/getInfo.php?workbook=10_02.xlsx&amp;sheet=A0&amp;row=898&amp;col=7&amp;number=&amp;sourceID=32","")</f>
        <v/>
      </c>
      <c r="H898" s="4" t="str">
        <f>HYPERLINK("http://141.218.60.56/~jnz1568/getInfo.php?workbook=10_02.xlsx&amp;sheet=A0&amp;row=898&amp;col=8&amp;number=9584&amp;sourceID=32","9584")</f>
        <v>9584</v>
      </c>
      <c r="I898" s="4" t="str">
        <f>HYPERLINK("http://141.218.60.56/~jnz1568/getInfo.php?workbook=10_02.xlsx&amp;sheet=A0&amp;row=898&amp;col=9&amp;number=&amp;sourceID=32","")</f>
        <v/>
      </c>
      <c r="J898" s="4" t="str">
        <f>HYPERLINK("http://141.218.60.56/~jnz1568/getInfo.php?workbook=10_02.xlsx&amp;sheet=A0&amp;row=898&amp;col=10&amp;number=&amp;sourceID=32","")</f>
        <v/>
      </c>
      <c r="K898" s="4" t="str">
        <f>HYPERLINK("http://141.218.60.56/~jnz1568/getInfo.php?workbook=10_02.xlsx&amp;sheet=A0&amp;row=898&amp;col=11&amp;number=9335.3&amp;sourceID=46","9335.3")</f>
        <v>9335.3</v>
      </c>
      <c r="L898" s="4" t="str">
        <f>HYPERLINK("http://141.218.60.56/~jnz1568/getInfo.php?workbook=10_02.xlsx&amp;sheet=A0&amp;row=898&amp;col=12&amp;number=&amp;sourceID=47","")</f>
        <v/>
      </c>
    </row>
    <row r="899" spans="1:12">
      <c r="A899" s="3">
        <v>10</v>
      </c>
      <c r="B899" s="3">
        <v>2</v>
      </c>
      <c r="C899" s="3">
        <v>49</v>
      </c>
      <c r="D899" s="3">
        <v>27</v>
      </c>
      <c r="E899" s="3">
        <f>((1/(INDEX(E0!J$4:J$52,C899,1)-INDEX(E0!J$4:J$52,D899,1))))*100000000</f>
        <v>0</v>
      </c>
      <c r="F899" s="4" t="str">
        <f>HYPERLINK("http://141.218.60.56/~jnz1568/getInfo.php?workbook=10_02.xlsx&amp;sheet=A0&amp;row=899&amp;col=6&amp;number=&amp;sourceID=27","")</f>
        <v/>
      </c>
      <c r="G899" s="4" t="str">
        <f>HYPERLINK("http://141.218.60.56/~jnz1568/getInfo.php?workbook=10_02.xlsx&amp;sheet=A0&amp;row=899&amp;col=7&amp;number=&amp;sourceID=32","")</f>
        <v/>
      </c>
      <c r="H899" s="4" t="str">
        <f>HYPERLINK("http://141.218.60.56/~jnz1568/getInfo.php?workbook=10_02.xlsx&amp;sheet=A0&amp;row=899&amp;col=8&amp;number=5.66&amp;sourceID=32","5.66")</f>
        <v>5.66</v>
      </c>
      <c r="I899" s="4" t="str">
        <f>HYPERLINK("http://141.218.60.56/~jnz1568/getInfo.php?workbook=10_02.xlsx&amp;sheet=A0&amp;row=899&amp;col=9&amp;number=1.902e-07&amp;sourceID=32","1.902e-07")</f>
        <v>1.902e-07</v>
      </c>
      <c r="J899" s="4" t="str">
        <f>HYPERLINK("http://141.218.60.56/~jnz1568/getInfo.php?workbook=10_02.xlsx&amp;sheet=A0&amp;row=899&amp;col=10&amp;number=&amp;sourceID=32","")</f>
        <v/>
      </c>
      <c r="K899" s="4" t="str">
        <f>HYPERLINK("http://141.218.60.56/~jnz1568/getInfo.php?workbook=10_02.xlsx&amp;sheet=A0&amp;row=899&amp;col=11&amp;number=3.5695&amp;sourceID=46","3.5695")</f>
        <v>3.5695</v>
      </c>
      <c r="L899" s="4" t="str">
        <f>HYPERLINK("http://141.218.60.56/~jnz1568/getInfo.php?workbook=10_02.xlsx&amp;sheet=A0&amp;row=899&amp;col=12&amp;number=&amp;sourceID=47","")</f>
        <v/>
      </c>
    </row>
    <row r="900" spans="1:12">
      <c r="A900" s="3">
        <v>10</v>
      </c>
      <c r="B900" s="3">
        <v>2</v>
      </c>
      <c r="C900" s="3">
        <v>49</v>
      </c>
      <c r="D900" s="3">
        <v>29</v>
      </c>
      <c r="E900" s="3">
        <f>((1/(INDEX(E0!J$4:J$52,C900,1)-INDEX(E0!J$4:J$52,D900,1))))*100000000</f>
        <v>0</v>
      </c>
      <c r="F900" s="4" t="str">
        <f>HYPERLINK("http://141.218.60.56/~jnz1568/getInfo.php?workbook=10_02.xlsx&amp;sheet=A0&amp;row=900&amp;col=6&amp;number=&amp;sourceID=27","")</f>
        <v/>
      </c>
      <c r="G900" s="4" t="str">
        <f>HYPERLINK("http://141.218.60.56/~jnz1568/getInfo.php?workbook=10_02.xlsx&amp;sheet=A0&amp;row=900&amp;col=7&amp;number=1155000000&amp;sourceID=32","1155000000")</f>
        <v>1155000000</v>
      </c>
      <c r="H900" s="4" t="str">
        <f>HYPERLINK("http://141.218.60.56/~jnz1568/getInfo.php?workbook=10_02.xlsx&amp;sheet=A0&amp;row=900&amp;col=8&amp;number=&amp;sourceID=32","")</f>
        <v/>
      </c>
      <c r="I900" s="4" t="str">
        <f>HYPERLINK("http://141.218.60.56/~jnz1568/getInfo.php?workbook=10_02.xlsx&amp;sheet=A0&amp;row=900&amp;col=9&amp;number=&amp;sourceID=32","")</f>
        <v/>
      </c>
      <c r="J900" s="4" t="str">
        <f>HYPERLINK("http://141.218.60.56/~jnz1568/getInfo.php?workbook=10_02.xlsx&amp;sheet=A0&amp;row=900&amp;col=10&amp;number=0.1755&amp;sourceID=32","0.1755")</f>
        <v>0.1755</v>
      </c>
      <c r="K900" s="4" t="str">
        <f>HYPERLINK("http://141.218.60.56/~jnz1568/getInfo.php?workbook=10_02.xlsx&amp;sheet=A0&amp;row=900&amp;col=11&amp;number=1159900000&amp;sourceID=46","1159900000")</f>
        <v>1159900000</v>
      </c>
      <c r="L900" s="4" t="str">
        <f>HYPERLINK("http://141.218.60.56/~jnz1568/getInfo.php?workbook=10_02.xlsx&amp;sheet=A0&amp;row=900&amp;col=12&amp;number=&amp;sourceID=47","")</f>
        <v/>
      </c>
    </row>
    <row r="901" spans="1:12">
      <c r="A901" s="3">
        <v>10</v>
      </c>
      <c r="B901" s="3">
        <v>2</v>
      </c>
      <c r="C901" s="3">
        <v>49</v>
      </c>
      <c r="D901" s="3">
        <v>30</v>
      </c>
      <c r="E901" s="3">
        <f>((1/(INDEX(E0!J$4:J$52,C901,1)-INDEX(E0!J$4:J$52,D901,1))))*100000000</f>
        <v>0</v>
      </c>
      <c r="F901" s="4" t="str">
        <f>HYPERLINK("http://141.218.60.56/~jnz1568/getInfo.php?workbook=10_02.xlsx&amp;sheet=A0&amp;row=901&amp;col=6&amp;number=&amp;sourceID=27","")</f>
        <v/>
      </c>
      <c r="G901" s="4" t="str">
        <f>HYPERLINK("http://141.218.60.56/~jnz1568/getInfo.php?workbook=10_02.xlsx&amp;sheet=A0&amp;row=901&amp;col=7&amp;number=&amp;sourceID=32","")</f>
        <v/>
      </c>
      <c r="H901" s="4" t="str">
        <f>HYPERLINK("http://141.218.60.56/~jnz1568/getInfo.php?workbook=10_02.xlsx&amp;sheet=A0&amp;row=901&amp;col=8&amp;number=15020&amp;sourceID=32","15020")</f>
        <v>15020</v>
      </c>
      <c r="I901" s="4" t="str">
        <f>HYPERLINK("http://141.218.60.56/~jnz1568/getInfo.php?workbook=10_02.xlsx&amp;sheet=A0&amp;row=901&amp;col=9&amp;number=&amp;sourceID=32","")</f>
        <v/>
      </c>
      <c r="J901" s="4" t="str">
        <f>HYPERLINK("http://141.218.60.56/~jnz1568/getInfo.php?workbook=10_02.xlsx&amp;sheet=A0&amp;row=901&amp;col=10&amp;number=&amp;sourceID=32","")</f>
        <v/>
      </c>
      <c r="K901" s="4" t="str">
        <f>HYPERLINK("http://141.218.60.56/~jnz1568/getInfo.php?workbook=10_02.xlsx&amp;sheet=A0&amp;row=901&amp;col=11&amp;number=15227&amp;sourceID=46","15227")</f>
        <v>15227</v>
      </c>
      <c r="L901" s="4" t="str">
        <f>HYPERLINK("http://141.218.60.56/~jnz1568/getInfo.php?workbook=10_02.xlsx&amp;sheet=A0&amp;row=901&amp;col=12&amp;number=&amp;sourceID=47","")</f>
        <v/>
      </c>
    </row>
    <row r="902" spans="1:12">
      <c r="A902" s="3">
        <v>10</v>
      </c>
      <c r="B902" s="3">
        <v>2</v>
      </c>
      <c r="C902" s="3">
        <v>49</v>
      </c>
      <c r="D902" s="3">
        <v>31</v>
      </c>
      <c r="E902" s="3">
        <f>((1/(INDEX(E0!J$4:J$52,C902,1)-INDEX(E0!J$4:J$52,D902,1))))*100000000</f>
        <v>0</v>
      </c>
      <c r="F902" s="4" t="str">
        <f>HYPERLINK("http://141.218.60.56/~jnz1568/getInfo.php?workbook=10_02.xlsx&amp;sheet=A0&amp;row=902&amp;col=6&amp;number=&amp;sourceID=27","")</f>
        <v/>
      </c>
      <c r="G902" s="4" t="str">
        <f>HYPERLINK("http://141.218.60.56/~jnz1568/getInfo.php?workbook=10_02.xlsx&amp;sheet=A0&amp;row=902&amp;col=7&amp;number=&amp;sourceID=32","")</f>
        <v/>
      </c>
      <c r="H902" s="4" t="str">
        <f>HYPERLINK("http://141.218.60.56/~jnz1568/getInfo.php?workbook=10_02.xlsx&amp;sheet=A0&amp;row=902&amp;col=8&amp;number=239300&amp;sourceID=32","239300")</f>
        <v>239300</v>
      </c>
      <c r="I902" s="4" t="str">
        <f>HYPERLINK("http://141.218.60.56/~jnz1568/getInfo.php?workbook=10_02.xlsx&amp;sheet=A0&amp;row=902&amp;col=9&amp;number=0.002361&amp;sourceID=32","0.002361")</f>
        <v>0.002361</v>
      </c>
      <c r="J902" s="4" t="str">
        <f>HYPERLINK("http://141.218.60.56/~jnz1568/getInfo.php?workbook=10_02.xlsx&amp;sheet=A0&amp;row=902&amp;col=10&amp;number=&amp;sourceID=32","")</f>
        <v/>
      </c>
      <c r="K902" s="4" t="str">
        <f>HYPERLINK("http://141.218.60.56/~jnz1568/getInfo.php?workbook=10_02.xlsx&amp;sheet=A0&amp;row=902&amp;col=11&amp;number=240310&amp;sourceID=46","240310")</f>
        <v>240310</v>
      </c>
      <c r="L902" s="4" t="str">
        <f>HYPERLINK("http://141.218.60.56/~jnz1568/getInfo.php?workbook=10_02.xlsx&amp;sheet=A0&amp;row=902&amp;col=12&amp;number=&amp;sourceID=47","")</f>
        <v/>
      </c>
    </row>
    <row r="903" spans="1:12">
      <c r="A903" s="3">
        <v>10</v>
      </c>
      <c r="B903" s="3">
        <v>2</v>
      </c>
      <c r="C903" s="3">
        <v>49</v>
      </c>
      <c r="D903" s="3">
        <v>32</v>
      </c>
      <c r="E903" s="3">
        <f>((1/(INDEX(E0!J$4:J$52,C903,1)-INDEX(E0!J$4:J$52,D903,1))))*100000000</f>
        <v>0</v>
      </c>
      <c r="F903" s="4" t="str">
        <f>HYPERLINK("http://141.218.60.56/~jnz1568/getInfo.php?workbook=10_02.xlsx&amp;sheet=A0&amp;row=903&amp;col=6&amp;number=&amp;sourceID=27","")</f>
        <v/>
      </c>
      <c r="G903" s="4" t="str">
        <f>HYPERLINK("http://141.218.60.56/~jnz1568/getInfo.php?workbook=10_02.xlsx&amp;sheet=A0&amp;row=903&amp;col=7&amp;number=3659&amp;sourceID=32","3659")</f>
        <v>3659</v>
      </c>
      <c r="H903" s="4" t="str">
        <f>HYPERLINK("http://141.218.60.56/~jnz1568/getInfo.php?workbook=10_02.xlsx&amp;sheet=A0&amp;row=903&amp;col=8&amp;number=&amp;sourceID=32","")</f>
        <v/>
      </c>
      <c r="I903" s="4" t="str">
        <f>HYPERLINK("http://141.218.60.56/~jnz1568/getInfo.php?workbook=10_02.xlsx&amp;sheet=A0&amp;row=903&amp;col=9&amp;number=&amp;sourceID=32","")</f>
        <v/>
      </c>
      <c r="J903" s="4" t="str">
        <f>HYPERLINK("http://141.218.60.56/~jnz1568/getInfo.php?workbook=10_02.xlsx&amp;sheet=A0&amp;row=903&amp;col=10&amp;number=2.465e-06&amp;sourceID=32","2.465e-06")</f>
        <v>2.465e-06</v>
      </c>
      <c r="K903" s="4" t="str">
        <f>HYPERLINK("http://141.218.60.56/~jnz1568/getInfo.php?workbook=10_02.xlsx&amp;sheet=A0&amp;row=903&amp;col=11&amp;number=2625&amp;sourceID=46","2625")</f>
        <v>2625</v>
      </c>
      <c r="L903" s="4" t="str">
        <f>HYPERLINK("http://141.218.60.56/~jnz1568/getInfo.php?workbook=10_02.xlsx&amp;sheet=A0&amp;row=903&amp;col=12&amp;number=&amp;sourceID=47","")</f>
        <v/>
      </c>
    </row>
    <row r="904" spans="1:12">
      <c r="A904" s="3">
        <v>10</v>
      </c>
      <c r="B904" s="3">
        <v>2</v>
      </c>
      <c r="C904" s="3">
        <v>49</v>
      </c>
      <c r="D904" s="3">
        <v>33</v>
      </c>
      <c r="E904" s="3">
        <f>((1/(INDEX(E0!J$4:J$52,C904,1)-INDEX(E0!J$4:J$52,D904,1))))*100000000</f>
        <v>0</v>
      </c>
      <c r="F904" s="4" t="str">
        <f>HYPERLINK("http://141.218.60.56/~jnz1568/getInfo.php?workbook=10_02.xlsx&amp;sheet=A0&amp;row=904&amp;col=6&amp;number=&amp;sourceID=27","")</f>
        <v/>
      </c>
      <c r="G904" s="4" t="str">
        <f>HYPERLINK("http://141.218.60.56/~jnz1568/getInfo.php?workbook=10_02.xlsx&amp;sheet=A0&amp;row=904&amp;col=7&amp;number=&amp;sourceID=32","")</f>
        <v/>
      </c>
      <c r="H904" s="4" t="str">
        <f>HYPERLINK("http://141.218.60.56/~jnz1568/getInfo.php?workbook=10_02.xlsx&amp;sheet=A0&amp;row=904&amp;col=8&amp;number=29712&amp;sourceID=32","29712")</f>
        <v>29712</v>
      </c>
      <c r="I904" s="4" t="str">
        <f>HYPERLINK("http://141.218.60.56/~jnz1568/getInfo.php?workbook=10_02.xlsx&amp;sheet=A0&amp;row=904&amp;col=9&amp;number=0.000514&amp;sourceID=32","0.000514")</f>
        <v>0.000514</v>
      </c>
      <c r="J904" s="4" t="str">
        <f>HYPERLINK("http://141.218.60.56/~jnz1568/getInfo.php?workbook=10_02.xlsx&amp;sheet=A0&amp;row=904&amp;col=10&amp;number=&amp;sourceID=32","")</f>
        <v/>
      </c>
      <c r="K904" s="4" t="str">
        <f>HYPERLINK("http://141.218.60.56/~jnz1568/getInfo.php?workbook=10_02.xlsx&amp;sheet=A0&amp;row=904&amp;col=11&amp;number=&amp;sourceID=46","")</f>
        <v/>
      </c>
      <c r="L904" s="4" t="str">
        <f>HYPERLINK("http://141.218.60.56/~jnz1568/getInfo.php?workbook=10_02.xlsx&amp;sheet=A0&amp;row=904&amp;col=12&amp;number=&amp;sourceID=47","")</f>
        <v/>
      </c>
    </row>
    <row r="905" spans="1:12">
      <c r="A905" s="3">
        <v>10</v>
      </c>
      <c r="B905" s="3">
        <v>2</v>
      </c>
      <c r="C905" s="3">
        <v>49</v>
      </c>
      <c r="D905" s="3">
        <v>34</v>
      </c>
      <c r="E905" s="3">
        <f>((1/(INDEX(E0!J$4:J$52,C905,1)-INDEX(E0!J$4:J$52,D905,1))))*100000000</f>
        <v>0</v>
      </c>
      <c r="F905" s="4" t="str">
        <f>HYPERLINK("http://141.218.60.56/~jnz1568/getInfo.php?workbook=10_02.xlsx&amp;sheet=A0&amp;row=905&amp;col=6&amp;number=&amp;sourceID=27","")</f>
        <v/>
      </c>
      <c r="G905" s="4" t="str">
        <f>HYPERLINK("http://141.218.60.56/~jnz1568/getInfo.php?workbook=10_02.xlsx&amp;sheet=A0&amp;row=905&amp;col=7&amp;number=421800&amp;sourceID=32","421800")</f>
        <v>421800</v>
      </c>
      <c r="H905" s="4" t="str">
        <f>HYPERLINK("http://141.218.60.56/~jnz1568/getInfo.php?workbook=10_02.xlsx&amp;sheet=A0&amp;row=905&amp;col=8&amp;number=&amp;sourceID=32","")</f>
        <v/>
      </c>
      <c r="I905" s="4" t="str">
        <f>HYPERLINK("http://141.218.60.56/~jnz1568/getInfo.php?workbook=10_02.xlsx&amp;sheet=A0&amp;row=905&amp;col=9&amp;number=&amp;sourceID=32","")</f>
        <v/>
      </c>
      <c r="J905" s="4" t="str">
        <f>HYPERLINK("http://141.218.60.56/~jnz1568/getInfo.php?workbook=10_02.xlsx&amp;sheet=A0&amp;row=905&amp;col=10&amp;number=&amp;sourceID=32","")</f>
        <v/>
      </c>
      <c r="K905" s="4" t="str">
        <f>HYPERLINK("http://141.218.60.56/~jnz1568/getInfo.php?workbook=10_02.xlsx&amp;sheet=A0&amp;row=905&amp;col=11&amp;number=436610&amp;sourceID=46","436610")</f>
        <v>436610</v>
      </c>
      <c r="L905" s="4" t="str">
        <f>HYPERLINK("http://141.218.60.56/~jnz1568/getInfo.php?workbook=10_02.xlsx&amp;sheet=A0&amp;row=905&amp;col=12&amp;number=&amp;sourceID=47","")</f>
        <v/>
      </c>
    </row>
    <row r="906" spans="1:12">
      <c r="A906" s="3">
        <v>10</v>
      </c>
      <c r="B906" s="3">
        <v>2</v>
      </c>
      <c r="C906" s="3">
        <v>49</v>
      </c>
      <c r="D906" s="3">
        <v>35</v>
      </c>
      <c r="E906" s="3">
        <f>((1/(INDEX(E0!J$4:J$52,C906,1)-INDEX(E0!J$4:J$52,D906,1))))*100000000</f>
        <v>0</v>
      </c>
      <c r="F906" s="4" t="str">
        <f>HYPERLINK("http://141.218.60.56/~jnz1568/getInfo.php?workbook=10_02.xlsx&amp;sheet=A0&amp;row=906&amp;col=6&amp;number=&amp;sourceID=27","")</f>
        <v/>
      </c>
      <c r="G906" s="4" t="str">
        <f>HYPERLINK("http://141.218.60.56/~jnz1568/getInfo.php?workbook=10_02.xlsx&amp;sheet=A0&amp;row=906&amp;col=7&amp;number=&amp;sourceID=32","")</f>
        <v/>
      </c>
      <c r="H906" s="4" t="str">
        <f>HYPERLINK("http://141.218.60.56/~jnz1568/getInfo.php?workbook=10_02.xlsx&amp;sheet=A0&amp;row=906&amp;col=8&amp;number=9.764e-06&amp;sourceID=32","9.764e-06")</f>
        <v>9.764e-06</v>
      </c>
      <c r="I906" s="4" t="str">
        <f>HYPERLINK("http://141.218.60.56/~jnz1568/getInfo.php?workbook=10_02.xlsx&amp;sheet=A0&amp;row=906&amp;col=9&amp;number=0.000412&amp;sourceID=32","0.000412")</f>
        <v>0.000412</v>
      </c>
      <c r="J906" s="4" t="str">
        <f>HYPERLINK("http://141.218.60.56/~jnz1568/getInfo.php?workbook=10_02.xlsx&amp;sheet=A0&amp;row=906&amp;col=10&amp;number=&amp;sourceID=32","")</f>
        <v/>
      </c>
      <c r="K906" s="4" t="str">
        <f>HYPERLINK("http://141.218.60.56/~jnz1568/getInfo.php?workbook=10_02.xlsx&amp;sheet=A0&amp;row=906&amp;col=11&amp;number=&amp;sourceID=46","")</f>
        <v/>
      </c>
      <c r="L906" s="4" t="str">
        <f>HYPERLINK("http://141.218.60.56/~jnz1568/getInfo.php?workbook=10_02.xlsx&amp;sheet=A0&amp;row=906&amp;col=12&amp;number=&amp;sourceID=47","")</f>
        <v/>
      </c>
    </row>
    <row r="907" spans="1:12">
      <c r="A907" s="3">
        <v>10</v>
      </c>
      <c r="B907" s="3">
        <v>2</v>
      </c>
      <c r="C907" s="3">
        <v>49</v>
      </c>
      <c r="D907" s="3">
        <v>36</v>
      </c>
      <c r="E907" s="3">
        <f>((1/(INDEX(E0!J$4:J$52,C907,1)-INDEX(E0!J$4:J$52,D907,1))))*100000000</f>
        <v>0</v>
      </c>
      <c r="F907" s="4" t="str">
        <f>HYPERLINK("http://141.218.60.56/~jnz1568/getInfo.php?workbook=10_02.xlsx&amp;sheet=A0&amp;row=907&amp;col=6&amp;number=&amp;sourceID=27","")</f>
        <v/>
      </c>
      <c r="G907" s="4" t="str">
        <f>HYPERLINK("http://141.218.60.56/~jnz1568/getInfo.php?workbook=10_02.xlsx&amp;sheet=A0&amp;row=907&amp;col=7&amp;number=&amp;sourceID=32","")</f>
        <v/>
      </c>
      <c r="H907" s="4" t="str">
        <f>HYPERLINK("http://141.218.60.56/~jnz1568/getInfo.php?workbook=10_02.xlsx&amp;sheet=A0&amp;row=907&amp;col=8&amp;number=2.776e-06&amp;sourceID=32","2.776e-06")</f>
        <v>2.776e-06</v>
      </c>
      <c r="I907" s="4" t="str">
        <f>HYPERLINK("http://141.218.60.56/~jnz1568/getInfo.php?workbook=10_02.xlsx&amp;sheet=A0&amp;row=907&amp;col=9&amp;number=0.0004293&amp;sourceID=32","0.0004293")</f>
        <v>0.0004293</v>
      </c>
      <c r="J907" s="4" t="str">
        <f>HYPERLINK("http://141.218.60.56/~jnz1568/getInfo.php?workbook=10_02.xlsx&amp;sheet=A0&amp;row=907&amp;col=10&amp;number=&amp;sourceID=32","")</f>
        <v/>
      </c>
      <c r="K907" s="4" t="str">
        <f>HYPERLINK("http://141.218.60.56/~jnz1568/getInfo.php?workbook=10_02.xlsx&amp;sheet=A0&amp;row=907&amp;col=11&amp;number=&amp;sourceID=46","")</f>
        <v/>
      </c>
      <c r="L907" s="4" t="str">
        <f>HYPERLINK("http://141.218.60.56/~jnz1568/getInfo.php?workbook=10_02.xlsx&amp;sheet=A0&amp;row=907&amp;col=12&amp;number=&amp;sourceID=47","")</f>
        <v/>
      </c>
    </row>
    <row r="908" spans="1:12">
      <c r="A908" s="3">
        <v>10</v>
      </c>
      <c r="B908" s="3">
        <v>2</v>
      </c>
      <c r="C908" s="3">
        <v>49</v>
      </c>
      <c r="D908" s="3">
        <v>37</v>
      </c>
      <c r="E908" s="3">
        <f>((1/(INDEX(E0!J$4:J$52,C908,1)-INDEX(E0!J$4:J$52,D908,1))))*100000000</f>
        <v>0</v>
      </c>
      <c r="F908" s="4" t="str">
        <f>HYPERLINK("http://141.218.60.56/~jnz1568/getInfo.php?workbook=10_02.xlsx&amp;sheet=A0&amp;row=908&amp;col=6&amp;number=&amp;sourceID=27","")</f>
        <v/>
      </c>
      <c r="G908" s="4" t="str">
        <f>HYPERLINK("http://141.218.60.56/~jnz1568/getInfo.php?workbook=10_02.xlsx&amp;sheet=A0&amp;row=908&amp;col=7&amp;number=2.004&amp;sourceID=32","2.004")</f>
        <v>2.004</v>
      </c>
      <c r="H908" s="4" t="str">
        <f>HYPERLINK("http://141.218.60.56/~jnz1568/getInfo.php?workbook=10_02.xlsx&amp;sheet=A0&amp;row=908&amp;col=8&amp;number=&amp;sourceID=32","")</f>
        <v/>
      </c>
      <c r="I908" s="4" t="str">
        <f>HYPERLINK("http://141.218.60.56/~jnz1568/getInfo.php?workbook=10_02.xlsx&amp;sheet=A0&amp;row=908&amp;col=9&amp;number=&amp;sourceID=32","")</f>
        <v/>
      </c>
      <c r="J908" s="4" t="str">
        <f>HYPERLINK("http://141.218.60.56/~jnz1568/getInfo.php?workbook=10_02.xlsx&amp;sheet=A0&amp;row=908&amp;col=10&amp;number=5.55e-13&amp;sourceID=32","5.55e-13")</f>
        <v>5.55e-13</v>
      </c>
      <c r="K908" s="4" t="str">
        <f>HYPERLINK("http://141.218.60.56/~jnz1568/getInfo.php?workbook=10_02.xlsx&amp;sheet=A0&amp;row=908&amp;col=11&amp;number=2.8081&amp;sourceID=46","2.8081")</f>
        <v>2.8081</v>
      </c>
      <c r="L908" s="4" t="str">
        <f>HYPERLINK("http://141.218.60.56/~jnz1568/getInfo.php?workbook=10_02.xlsx&amp;sheet=A0&amp;row=908&amp;col=12&amp;number=&amp;sourceID=47","")</f>
        <v/>
      </c>
    </row>
    <row r="909" spans="1:12">
      <c r="A909" s="3">
        <v>10</v>
      </c>
      <c r="B909" s="3">
        <v>2</v>
      </c>
      <c r="C909" s="3">
        <v>49</v>
      </c>
      <c r="D909" s="3">
        <v>38</v>
      </c>
      <c r="E909" s="3">
        <f>((1/(INDEX(E0!J$4:J$52,C909,1)-INDEX(E0!J$4:J$52,D909,1))))*100000000</f>
        <v>0</v>
      </c>
      <c r="F909" s="4" t="str">
        <f>HYPERLINK("http://141.218.60.56/~jnz1568/getInfo.php?workbook=10_02.xlsx&amp;sheet=A0&amp;row=909&amp;col=6&amp;number=&amp;sourceID=27","")</f>
        <v/>
      </c>
      <c r="G909" s="4" t="str">
        <f>HYPERLINK("http://141.218.60.56/~jnz1568/getInfo.php?workbook=10_02.xlsx&amp;sheet=A0&amp;row=909&amp;col=7&amp;number=195.3&amp;sourceID=32","195.3")</f>
        <v>195.3</v>
      </c>
      <c r="H909" s="4" t="str">
        <f>HYPERLINK("http://141.218.60.56/~jnz1568/getInfo.php?workbook=10_02.xlsx&amp;sheet=A0&amp;row=909&amp;col=8&amp;number=&amp;sourceID=32","")</f>
        <v/>
      </c>
      <c r="I909" s="4" t="str">
        <f>HYPERLINK("http://141.218.60.56/~jnz1568/getInfo.php?workbook=10_02.xlsx&amp;sheet=A0&amp;row=909&amp;col=9&amp;number=&amp;sourceID=32","")</f>
        <v/>
      </c>
      <c r="J909" s="4" t="str">
        <f>HYPERLINK("http://141.218.60.56/~jnz1568/getInfo.php?workbook=10_02.xlsx&amp;sheet=A0&amp;row=909&amp;col=10&amp;number=5.259e-12&amp;sourceID=32","5.259e-12")</f>
        <v>5.259e-12</v>
      </c>
      <c r="K909" s="4" t="str">
        <f>HYPERLINK("http://141.218.60.56/~jnz1568/getInfo.php?workbook=10_02.xlsx&amp;sheet=A0&amp;row=909&amp;col=11&amp;number=262.99&amp;sourceID=46","262.99")</f>
        <v>262.99</v>
      </c>
      <c r="L909" s="4" t="str">
        <f>HYPERLINK("http://141.218.60.56/~jnz1568/getInfo.php?workbook=10_02.xlsx&amp;sheet=A0&amp;row=909&amp;col=12&amp;number=&amp;sourceID=47","")</f>
        <v/>
      </c>
    </row>
    <row r="910" spans="1:12">
      <c r="A910" s="3">
        <v>10</v>
      </c>
      <c r="B910" s="3">
        <v>2</v>
      </c>
      <c r="C910" s="3">
        <v>49</v>
      </c>
      <c r="D910" s="3">
        <v>39</v>
      </c>
      <c r="E910" s="3">
        <f>((1/(INDEX(E0!J$4:J$52,C910,1)-INDEX(E0!J$4:J$52,D910,1))))*100000000</f>
        <v>0</v>
      </c>
      <c r="F910" s="4" t="str">
        <f>HYPERLINK("http://141.218.60.56/~jnz1568/getInfo.php?workbook=10_02.xlsx&amp;sheet=A0&amp;row=910&amp;col=6&amp;number=&amp;sourceID=27","")</f>
        <v/>
      </c>
      <c r="G910" s="4" t="str">
        <f>HYPERLINK("http://141.218.60.56/~jnz1568/getInfo.php?workbook=10_02.xlsx&amp;sheet=A0&amp;row=910&amp;col=7&amp;number=&amp;sourceID=32","")</f>
        <v/>
      </c>
      <c r="H910" s="4" t="str">
        <f>HYPERLINK("http://141.218.60.56/~jnz1568/getInfo.php?workbook=10_02.xlsx&amp;sheet=A0&amp;row=910&amp;col=8&amp;number=&amp;sourceID=32","")</f>
        <v/>
      </c>
      <c r="I910" s="4" t="str">
        <f>HYPERLINK("http://141.218.60.56/~jnz1568/getInfo.php?workbook=10_02.xlsx&amp;sheet=A0&amp;row=910&amp;col=9&amp;number=&amp;sourceID=32","")</f>
        <v/>
      </c>
      <c r="J910" s="4" t="str">
        <f>HYPERLINK("http://141.218.60.56/~jnz1568/getInfo.php?workbook=10_02.xlsx&amp;sheet=A0&amp;row=910&amp;col=10&amp;number=3.957e-11&amp;sourceID=32","3.957e-11")</f>
        <v>3.957e-11</v>
      </c>
      <c r="K910" s="4" t="str">
        <f>HYPERLINK("http://141.218.60.56/~jnz1568/getInfo.php?workbook=10_02.xlsx&amp;sheet=A0&amp;row=910&amp;col=11&amp;number=&amp;sourceID=46","")</f>
        <v/>
      </c>
      <c r="L910" s="4" t="str">
        <f>HYPERLINK("http://141.218.60.56/~jnz1568/getInfo.php?workbook=10_02.xlsx&amp;sheet=A0&amp;row=910&amp;col=12&amp;number=&amp;sourceID=47","")</f>
        <v/>
      </c>
    </row>
    <row r="911" spans="1:12">
      <c r="A911" s="3">
        <v>10</v>
      </c>
      <c r="B911" s="3">
        <v>2</v>
      </c>
      <c r="C911" s="3">
        <v>49</v>
      </c>
      <c r="D911" s="3">
        <v>40</v>
      </c>
      <c r="E911" s="3">
        <f>((1/(INDEX(E0!J$4:J$52,C911,1)-INDEX(E0!J$4:J$52,D911,1))))*100000000</f>
        <v>0</v>
      </c>
      <c r="F911" s="4" t="str">
        <f>HYPERLINK("http://141.218.60.56/~jnz1568/getInfo.php?workbook=10_02.xlsx&amp;sheet=A0&amp;row=911&amp;col=6&amp;number=&amp;sourceID=27","")</f>
        <v/>
      </c>
      <c r="G911" s="4" t="str">
        <f>HYPERLINK("http://141.218.60.56/~jnz1568/getInfo.php?workbook=10_02.xlsx&amp;sheet=A0&amp;row=911&amp;col=7&amp;number=&amp;sourceID=32","")</f>
        <v/>
      </c>
      <c r="H911" s="4" t="str">
        <f>HYPERLINK("http://141.218.60.56/~jnz1568/getInfo.php?workbook=10_02.xlsx&amp;sheet=A0&amp;row=911&amp;col=8&amp;number=5.741e-07&amp;sourceID=32","5.741e-07")</f>
        <v>5.741e-07</v>
      </c>
      <c r="I911" s="4" t="str">
        <f>HYPERLINK("http://141.218.60.56/~jnz1568/getInfo.php?workbook=10_02.xlsx&amp;sheet=A0&amp;row=911&amp;col=9&amp;number=&amp;sourceID=32","")</f>
        <v/>
      </c>
      <c r="J911" s="4" t="str">
        <f>HYPERLINK("http://141.218.60.56/~jnz1568/getInfo.php?workbook=10_02.xlsx&amp;sheet=A0&amp;row=911&amp;col=10&amp;number=&amp;sourceID=32","")</f>
        <v/>
      </c>
      <c r="K911" s="4" t="str">
        <f>HYPERLINK("http://141.218.60.56/~jnz1568/getInfo.php?workbook=10_02.xlsx&amp;sheet=A0&amp;row=911&amp;col=11&amp;number=&amp;sourceID=46","")</f>
        <v/>
      </c>
      <c r="L911" s="4" t="str">
        <f>HYPERLINK("http://141.218.60.56/~jnz1568/getInfo.php?workbook=10_02.xlsx&amp;sheet=A0&amp;row=911&amp;col=12&amp;number=&amp;sourceID=47","")</f>
        <v/>
      </c>
    </row>
    <row r="912" spans="1:12">
      <c r="A912" s="3">
        <v>10</v>
      </c>
      <c r="B912" s="3">
        <v>2</v>
      </c>
      <c r="C912" s="3">
        <v>49</v>
      </c>
      <c r="D912" s="3">
        <v>41</v>
      </c>
      <c r="E912" s="3">
        <f>((1/(INDEX(E0!J$4:J$52,C912,1)-INDEX(E0!J$4:J$52,D912,1))))*100000000</f>
        <v>0</v>
      </c>
      <c r="F912" s="4" t="str">
        <f>HYPERLINK("http://141.218.60.56/~jnz1568/getInfo.php?workbook=10_02.xlsx&amp;sheet=A0&amp;row=912&amp;col=6&amp;number=&amp;sourceID=27","")</f>
        <v/>
      </c>
      <c r="G912" s="4" t="str">
        <f>HYPERLINK("http://141.218.60.56/~jnz1568/getInfo.php?workbook=10_02.xlsx&amp;sheet=A0&amp;row=912&amp;col=7&amp;number=&amp;sourceID=32","")</f>
        <v/>
      </c>
      <c r="H912" s="4" t="str">
        <f>HYPERLINK("http://141.218.60.56/~jnz1568/getInfo.php?workbook=10_02.xlsx&amp;sheet=A0&amp;row=912&amp;col=8&amp;number=3.401e-10&amp;sourceID=32","3.401e-10")</f>
        <v>3.401e-10</v>
      </c>
      <c r="I912" s="4" t="str">
        <f>HYPERLINK("http://141.218.60.56/~jnz1568/getInfo.php?workbook=10_02.xlsx&amp;sheet=A0&amp;row=912&amp;col=9&amp;number=5.99e-13&amp;sourceID=32","5.99e-13")</f>
        <v>5.99e-13</v>
      </c>
      <c r="J912" s="4" t="str">
        <f>HYPERLINK("http://141.218.60.56/~jnz1568/getInfo.php?workbook=10_02.xlsx&amp;sheet=A0&amp;row=912&amp;col=10&amp;number=&amp;sourceID=32","")</f>
        <v/>
      </c>
      <c r="K912" s="4" t="str">
        <f>HYPERLINK("http://141.218.60.56/~jnz1568/getInfo.php?workbook=10_02.xlsx&amp;sheet=A0&amp;row=912&amp;col=11&amp;number=&amp;sourceID=46","")</f>
        <v/>
      </c>
      <c r="L912" s="4" t="str">
        <f>HYPERLINK("http://141.218.60.56/~jnz1568/getInfo.php?workbook=10_02.xlsx&amp;sheet=A0&amp;row=912&amp;col=12&amp;number=&amp;sourceID=47","")</f>
        <v/>
      </c>
    </row>
    <row r="913" spans="1:12">
      <c r="A913" s="3">
        <v>10</v>
      </c>
      <c r="B913" s="3">
        <v>2</v>
      </c>
      <c r="C913" s="3">
        <v>49</v>
      </c>
      <c r="D913" s="3">
        <v>43</v>
      </c>
      <c r="E913" s="3">
        <f>((1/(INDEX(E0!J$4:J$52,C913,1)-INDEX(E0!J$4:J$52,D913,1))))*100000000</f>
        <v>0</v>
      </c>
      <c r="F913" s="4" t="str">
        <f>HYPERLINK("http://141.218.60.56/~jnz1568/getInfo.php?workbook=10_02.xlsx&amp;sheet=A0&amp;row=913&amp;col=6&amp;number=&amp;sourceID=27","")</f>
        <v/>
      </c>
      <c r="G913" s="4" t="str">
        <f>HYPERLINK("http://141.218.60.56/~jnz1568/getInfo.php?workbook=10_02.xlsx&amp;sheet=A0&amp;row=913&amp;col=7&amp;number=4925&amp;sourceID=32","4925")</f>
        <v>4925</v>
      </c>
      <c r="H913" s="4" t="str">
        <f>HYPERLINK("http://141.218.60.56/~jnz1568/getInfo.php?workbook=10_02.xlsx&amp;sheet=A0&amp;row=913&amp;col=8&amp;number=&amp;sourceID=32","")</f>
        <v/>
      </c>
      <c r="I913" s="4" t="str">
        <f>HYPERLINK("http://141.218.60.56/~jnz1568/getInfo.php?workbook=10_02.xlsx&amp;sheet=A0&amp;row=913&amp;col=9&amp;number=&amp;sourceID=32","")</f>
        <v/>
      </c>
      <c r="J913" s="4" t="str">
        <f>HYPERLINK("http://141.218.60.56/~jnz1568/getInfo.php?workbook=10_02.xlsx&amp;sheet=A0&amp;row=913&amp;col=10&amp;number=7.362e-12&amp;sourceID=32","7.362e-12")</f>
        <v>7.362e-12</v>
      </c>
      <c r="K913" s="4" t="str">
        <f>HYPERLINK("http://141.218.60.56/~jnz1568/getInfo.php?workbook=10_02.xlsx&amp;sheet=A0&amp;row=913&amp;col=11&amp;number=10975&amp;sourceID=46","10975")</f>
        <v>10975</v>
      </c>
      <c r="L913" s="4" t="str">
        <f>HYPERLINK("http://141.218.60.56/~jnz1568/getInfo.php?workbook=10_02.xlsx&amp;sheet=A0&amp;row=913&amp;col=12&amp;number=&amp;sourceID=47","")</f>
        <v/>
      </c>
    </row>
    <row r="914" spans="1:12">
      <c r="A914" s="3">
        <v>10</v>
      </c>
      <c r="B914" s="3">
        <v>2</v>
      </c>
      <c r="C914" s="3">
        <v>49</v>
      </c>
      <c r="D914" s="3">
        <v>44</v>
      </c>
      <c r="E914" s="3"/>
      <c r="F914" s="4" t="str">
        <f>HYPERLINK("http://141.218.60.56/~jnz1568/getInfo.php?workbook=10_02.xlsx&amp;sheet=A0&amp;row=914&amp;col=6&amp;number=&amp;sourceID=27","")</f>
        <v/>
      </c>
      <c r="G914" s="4" t="str">
        <f>HYPERLINK("http://141.218.60.56/~jnz1568/getInfo.php?workbook=10_02.xlsx&amp;sheet=A0&amp;row=914&amp;col=7&amp;number=&amp;sourceID=32","")</f>
        <v/>
      </c>
      <c r="H914" s="4" t="str">
        <f>HYPERLINK("http://141.218.60.56/~jnz1568/getInfo.php?workbook=10_02.xlsx&amp;sheet=A0&amp;row=914&amp;col=8&amp;number=7.548e-07&amp;sourceID=32","7.548e-07")</f>
        <v>7.548e-07</v>
      </c>
      <c r="I914" s="4" t="str">
        <f>HYPERLINK("http://141.218.60.56/~jnz1568/getInfo.php?workbook=10_02.xlsx&amp;sheet=A0&amp;row=914&amp;col=9&amp;number=&amp;sourceID=32","")</f>
        <v/>
      </c>
      <c r="J914" s="4" t="str">
        <f>HYPERLINK("http://141.218.60.56/~jnz1568/getInfo.php?workbook=10_02.xlsx&amp;sheet=A0&amp;row=914&amp;col=10&amp;number=&amp;sourceID=32","")</f>
        <v/>
      </c>
      <c r="K914" s="4" t="str">
        <f>HYPERLINK("http://141.218.60.56/~jnz1568/getInfo.php?workbook=10_02.xlsx&amp;sheet=A0&amp;row=914&amp;col=11&amp;number=&amp;sourceID=46","")</f>
        <v/>
      </c>
      <c r="L914" s="4" t="str">
        <f>HYPERLINK("http://141.218.60.56/~jnz1568/getInfo.php?workbook=10_02.xlsx&amp;sheet=A0&amp;row=914&amp;col=12&amp;number=&amp;sourceID=47","")</f>
        <v/>
      </c>
    </row>
    <row r="915" spans="1:12">
      <c r="A915" s="3">
        <v>10</v>
      </c>
      <c r="B915" s="3">
        <v>2</v>
      </c>
      <c r="C915" s="3">
        <v>49</v>
      </c>
      <c r="D915" s="3">
        <v>46</v>
      </c>
      <c r="E915" s="3">
        <f>((1/(INDEX(E0!J$4:J$52,C915,1)-INDEX(E0!J$4:J$52,D915,1))))*100000000</f>
        <v>0</v>
      </c>
      <c r="F915" s="4" t="str">
        <f>HYPERLINK("http://141.218.60.56/~jnz1568/getInfo.php?workbook=10_02.xlsx&amp;sheet=A0&amp;row=915&amp;col=6&amp;number=&amp;sourceID=27","")</f>
        <v/>
      </c>
      <c r="G915" s="4" t="str">
        <f>HYPERLINK("http://141.218.60.56/~jnz1568/getInfo.php?workbook=10_02.xlsx&amp;sheet=A0&amp;row=915&amp;col=7&amp;number=&amp;sourceID=32","")</f>
        <v/>
      </c>
      <c r="H915" s="4" t="str">
        <f>HYPERLINK("http://141.218.60.56/~jnz1568/getInfo.php?workbook=10_02.xlsx&amp;sheet=A0&amp;row=915&amp;col=8&amp;number=&amp;sourceID=32","")</f>
        <v/>
      </c>
      <c r="I915" s="4" t="str">
        <f>HYPERLINK("http://141.218.60.56/~jnz1568/getInfo.php?workbook=10_02.xlsx&amp;sheet=A0&amp;row=915&amp;col=9&amp;number=&amp;sourceID=32","")</f>
        <v/>
      </c>
      <c r="J915" s="4" t="str">
        <f>HYPERLINK("http://141.218.60.56/~jnz1568/getInfo.php?workbook=10_02.xlsx&amp;sheet=A0&amp;row=915&amp;col=10&amp;number=0&amp;sourceID=32","0")</f>
        <v>0</v>
      </c>
      <c r="K915" s="4" t="str">
        <f>HYPERLINK("http://141.218.60.56/~jnz1568/getInfo.php?workbook=10_02.xlsx&amp;sheet=A0&amp;row=915&amp;col=11&amp;number=&amp;sourceID=46","")</f>
        <v/>
      </c>
      <c r="L915" s="4" t="str">
        <f>HYPERLINK("http://141.218.60.56/~jnz1568/getInfo.php?workbook=10_02.xlsx&amp;sheet=A0&amp;row=915&amp;col=12&amp;number=&amp;sourceID=47","")</f>
        <v/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</vt:lpstr>
      <vt:lpstr>A0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2015-04-13T07:18:37Z</dcterms:created>
  <dcterms:modified xsi:type="dcterms:W3CDTF">2015-04-13T07:18:37Z</dcterms:modified>
</cp:coreProperties>
</file>