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<sst xmlns="http://schemas.openxmlformats.org/spreadsheetml/2006/main" count="130" uniqueCount="49">
  <si>
    <t>Fine-Structure Energy Levels for  Na XI</t>
  </si>
  <si>
    <t>S2</t>
  </si>
  <si>
    <t>S11</t>
  </si>
  <si>
    <t>S12</t>
  </si>
  <si>
    <t>S30</t>
  </si>
  <si>
    <t>S13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</si>
  <si>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</si>
  <si>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</si>
  <si>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</si>
  <si>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</si>
  <si>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</si>
  <si>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</si>
  <si>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</si>
  <si>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</si>
  <si>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</si>
  <si>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</si>
  <si>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</si>
  <si>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</si>
  <si>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</si>
  <si>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</si>
  <si>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</si>
  <si>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</si>
  <si>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</si>
  <si>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</si>
  <si>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</si>
  <si>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</si>
  <si>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</si>
  <si>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</si>
  <si>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</si>
  <si>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</si>
  <si>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</si>
  <si>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</si>
  <si>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</si>
  <si>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</si>
  <si>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</si>
  <si>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</si>
  <si>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</si>
  <si>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fine-structure transitions in Na XI</t>
  </si>
  <si>
    <t>S18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</si>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</sst>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4.7109375" customWidth="1"/>
    <col min="11" max="11" width="13.7109375" customWidth="1"/>
    <col min="12" max="12" width="10.7109375" customWidth="1"/>
    <col min="13" max="13" width="14.7109375" customWidth="1"/>
    <col min="14" max="14" width="14.7109375" customWidth="1"/>
    <col min="15" max="15" width="9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  <c r="N2" s="2" t="s">
        <v>4</v>
      </c>
      <c r="O2" s="2" t="s">
        <v>5</v>
      </c>
    </row>
    <row r="3" spans="1: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16</v>
      </c>
    </row>
    <row r="4" spans="1:15">
      <c r="A4" s="3">
        <v>11</v>
      </c>
      <c r="B4" s="3">
        <v>1</v>
      </c>
      <c r="C4" s="3">
        <v>1</v>
      </c>
      <c r="D4" s="3" t="s">
        <v>17</v>
      </c>
      <c r="E4" s="3" t="s">
        <v>18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HYPERLINK("http://141.218.60.56/~jnz1568/getInfo.php?workbook=11_01.xlsx&amp;sheet=E0&amp;row=4&amp;col=10&amp;number=0&amp;sourceID=2","0")</f>
        <v>0</v>
      </c>
      <c r="K4" s="4" t="str">
        <f>HYPERLINK("http://141.218.60.56/~jnz1568/getInfo.php?workbook=11_01.xlsx&amp;sheet=E0&amp;row=4&amp;col=11&amp;number=0&amp;sourceID=11","0")</f>
        <v>0</v>
      </c>
      <c r="L4" s="4" t="str">
        <f>HYPERLINK("http://141.218.60.56/~jnz1568/getInfo.php?workbook=11_01.xlsx&amp;sheet=E0&amp;row=4&amp;col=12&amp;number=0&amp;sourceID=12","0")</f>
        <v>0</v>
      </c>
      <c r="M4" s="4" t="str">
        <f>HYPERLINK("http://141.218.60.56/~jnz1568/getInfo.php?workbook=11_01.xlsx&amp;sheet=E0&amp;row=4&amp;col=13&amp;number=0&amp;sourceID=30","0")</f>
        <v>0</v>
      </c>
      <c r="N4" s="4" t="str">
        <f>HYPERLINK("http://141.218.60.56/~jnz1568/getInfo.php?workbook=11_01.xlsx&amp;sheet=E0&amp;row=4&amp;col=14&amp;number=0&amp;sourceID=30","0")</f>
        <v>0</v>
      </c>
      <c r="O4" s="4" t="str">
        <f>HYPERLINK("http://141.218.60.56/~jnz1568/getInfo.php?workbook=11_01.xlsx&amp;sheet=E0&amp;row=4&amp;col=15&amp;number=0&amp;sourceID=13","0")</f>
        <v>0</v>
      </c>
    </row>
    <row r="5" spans="1:15">
      <c r="A5" s="3">
        <v>11</v>
      </c>
      <c r="B5" s="3">
        <v>1</v>
      </c>
      <c r="C5" s="3">
        <f>+C4+1</f>
        <v>0</v>
      </c>
      <c r="D5" s="3" t="s">
        <v>19</v>
      </c>
      <c r="E5" s="3" t="s">
        <v>20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HYPERLINK("http://141.218.60.56/~jnz1568/getInfo.php?workbook=11_01.xlsx&amp;sheet=E0&amp;row=5&amp;col=10&amp;number=9971484.9&amp;sourceID=2","9971484.9")</f>
        <v>9971484.9</v>
      </c>
      <c r="K5" s="4" t="str">
        <f>HYPERLINK("http://141.218.60.56/~jnz1568/getInfo.php?workbook=11_01.xlsx&amp;sheet=E0&amp;row=5&amp;col=11&amp;number=9973174.9566&amp;sourceID=11","9973174.9566")</f>
        <v>9973174.9566</v>
      </c>
      <c r="L5" s="4" t="str">
        <f>HYPERLINK("http://141.218.60.56/~jnz1568/getInfo.php?workbook=11_01.xlsx&amp;sheet=E0&amp;row=5&amp;col=12&amp;number=9971495.4&amp;sourceID=12","9971495.4")</f>
        <v>9971495.4</v>
      </c>
      <c r="M5" s="4" t="str">
        <f>HYPERLINK("http://141.218.60.56/~jnz1568/getInfo.php?workbook=11_01.xlsx&amp;sheet=E0&amp;row=5&amp;col=13&amp;number=9973413.3858&amp;sourceID=30","9973413.3858")</f>
        <v>9973413.3858</v>
      </c>
      <c r="N5" s="4" t="str">
        <f>HYPERLINK("http://141.218.60.56/~jnz1568/getInfo.php?workbook=11_01.xlsx&amp;sheet=E0&amp;row=5&amp;col=14&amp;number=9971737.69699&amp;sourceID=30","9971737.69699")</f>
        <v>9971737.69699</v>
      </c>
      <c r="O5" s="4" t="str">
        <f>HYPERLINK("http://141.218.60.56/~jnz1568/getInfo.php?workbook=11_01.xlsx&amp;sheet=E0&amp;row=5&amp;col=15&amp;number=9973381&amp;sourceID=13","9973381")</f>
        <v>9973381</v>
      </c>
    </row>
    <row r="6" spans="1:15">
      <c r="A6" s="3">
        <v>11</v>
      </c>
      <c r="B6" s="3">
        <v>1</v>
      </c>
      <c r="C6" s="3">
        <f/>
        <v>0</v>
      </c>
      <c r="D6" s="3" t="s">
        <v>21</v>
      </c>
      <c r="E6" s="3" t="s">
        <v>18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HYPERLINK("http://141.218.60.56/~jnz1568/getInfo.php?workbook=11_01.xlsx&amp;sheet=E0&amp;row=6&amp;col=10&amp;number=9971713.8&amp;sourceID=2","9971713.8")</f>
        <v>9971713.8</v>
      </c>
      <c r="K6" s="4" t="str">
        <f>HYPERLINK("http://141.218.60.56/~jnz1568/getInfo.php?workbook=11_01.xlsx&amp;sheet=E0&amp;row=6&amp;col=11&amp;number=9973174.9566&amp;sourceID=11","9973174.9566")</f>
        <v>9973174.9566</v>
      </c>
      <c r="L6" s="4" t="str">
        <f>HYPERLINK("http://141.218.60.56/~jnz1568/getInfo.php?workbook=11_01.xlsx&amp;sheet=E0&amp;row=6&amp;col=12&amp;number=9971722.2&amp;sourceID=12","9971722.2")</f>
        <v>9971722.2</v>
      </c>
      <c r="M6" s="4" t="str">
        <f>HYPERLINK("http://141.218.60.56/~jnz1568/getInfo.php?workbook=11_01.xlsx&amp;sheet=E0&amp;row=6&amp;col=13&amp;number=9973413.3858&amp;sourceID=30","9973413.3858")</f>
        <v>9973413.3858</v>
      </c>
      <c r="N6" s="4" t="str">
        <f>HYPERLINK("http://141.218.60.56/~jnz1568/getInfo.php?workbook=11_01.xlsx&amp;sheet=E0&amp;row=6&amp;col=14&amp;number=9971963.75586&amp;sourceID=30","9971963.75586")</f>
        <v>9971963.75586</v>
      </c>
      <c r="O6" s="4" t="str">
        <f>HYPERLINK("http://141.218.60.56/~jnz1568/getInfo.php?workbook=11_01.xlsx&amp;sheet=E0&amp;row=6&amp;col=15&amp;number=9973396&amp;sourceID=13","9973396")</f>
        <v>9973396</v>
      </c>
    </row>
    <row r="7" spans="1:15">
      <c r="A7" s="3">
        <v>11</v>
      </c>
      <c r="B7" s="3">
        <v>1</v>
      </c>
      <c r="C7" s="3">
        <f/>
        <v>0</v>
      </c>
      <c r="D7" s="3" t="s">
        <v>19</v>
      </c>
      <c r="E7" s="3" t="s">
        <v>20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HYPERLINK("http://141.218.60.56/~jnz1568/getInfo.php?workbook=11_01.xlsx&amp;sheet=E0&amp;row=7&amp;col=10&amp;number=9976865.74&amp;sourceID=2","9976865.74")</f>
        <v>9976865.74</v>
      </c>
      <c r="K7" s="4" t="str">
        <f>HYPERLINK("http://141.218.60.56/~jnz1568/getInfo.php?workbook=11_01.xlsx&amp;sheet=E0&amp;row=7&amp;col=11&amp;number=9978543.7699&amp;sourceID=11","9978543.7699")</f>
        <v>9978543.7699</v>
      </c>
      <c r="L7" s="4" t="str">
        <f>HYPERLINK("http://141.218.60.56/~jnz1568/getInfo.php?workbook=11_01.xlsx&amp;sheet=E0&amp;row=7&amp;col=12&amp;number=9976876.4&amp;sourceID=12","9976876.4")</f>
        <v>9976876.4</v>
      </c>
      <c r="M7" s="4" t="str">
        <f>HYPERLINK("http://141.218.60.56/~jnz1568/getInfo.php?workbook=11_01.xlsx&amp;sheet=E0&amp;row=7&amp;col=13&amp;number=9978781.73528&amp;sourceID=30","9978781.73528")</f>
        <v>9978781.73528</v>
      </c>
      <c r="N7" s="4" t="str">
        <f>HYPERLINK("http://141.218.60.56/~jnz1568/getInfo.php?workbook=11_01.xlsx&amp;sheet=E0&amp;row=7&amp;col=14&amp;number=9977118.11757&amp;sourceID=30","9977118.11757")</f>
        <v>9977118.11757</v>
      </c>
      <c r="O7" s="4" t="str">
        <f>HYPERLINK("http://141.218.60.56/~jnz1568/getInfo.php?workbook=11_01.xlsx&amp;sheet=E0&amp;row=7&amp;col=15&amp;number=9978738&amp;sourceID=13","9978738")</f>
        <v>9978738</v>
      </c>
    </row>
    <row r="8" spans="1:15">
      <c r="A8" s="3">
        <v>11</v>
      </c>
      <c r="B8" s="3">
        <v>1</v>
      </c>
      <c r="C8" s="3">
        <f/>
        <v>0</v>
      </c>
      <c r="D8" s="3" t="s">
        <v>22</v>
      </c>
      <c r="E8" s="3" t="s">
        <v>20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HYPERLINK("http://141.218.60.56/~jnz1568/getInfo.php?workbook=11_01.xlsx&amp;sheet=E0&amp;row=8&amp;col=10&amp;number=11819964.44&amp;sourceID=2","11819964.44")</f>
        <v>11819964.44</v>
      </c>
      <c r="K8" s="4" t="str">
        <f>HYPERLINK("http://141.218.60.56/~jnz1568/getInfo.php?workbook=11_01.xlsx&amp;sheet=E0&amp;row=8&amp;col=11&amp;number=11821650.349&amp;sourceID=11","11821650.349")</f>
        <v>11821650.349</v>
      </c>
      <c r="L8" s="4" t="str">
        <f>HYPERLINK("http://141.218.60.56/~jnz1568/getInfo.php?workbook=11_01.xlsx&amp;sheet=E0&amp;row=8&amp;col=12&amp;number=11819975&amp;sourceID=12","11819975")</f>
        <v>11819975</v>
      </c>
      <c r="M8" s="4" t="str">
        <f>HYPERLINK("http://141.218.60.56/~jnz1568/getInfo.php?workbook=11_01.xlsx&amp;sheet=E0&amp;row=8&amp;col=13&amp;number=11821932.9817&amp;sourceID=30","11821932.9817")</f>
        <v>11821932.9817</v>
      </c>
      <c r="N8" s="4" t="str">
        <f>HYPERLINK("http://141.218.60.56/~jnz1568/getInfo.php?workbook=11_01.xlsx&amp;sheet=E0&amp;row=8&amp;col=14&amp;number=11820260.585&amp;sourceID=30","11820260.585")</f>
        <v>11820260.585</v>
      </c>
      <c r="O8" s="4" t="str">
        <f>HYPERLINK("http://141.218.60.56/~jnz1568/getInfo.php?workbook=11_01.xlsx&amp;sheet=E0&amp;row=8&amp;col=15&amp;number=11821900&amp;sourceID=13","11821900")</f>
        <v>11821900</v>
      </c>
    </row>
    <row r="9" spans="1:15">
      <c r="A9" s="3">
        <v>11</v>
      </c>
      <c r="B9" s="3">
        <v>1</v>
      </c>
      <c r="C9" s="3">
        <f/>
        <v>0</v>
      </c>
      <c r="D9" s="3" t="s">
        <v>23</v>
      </c>
      <c r="E9" s="3" t="s">
        <v>18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HYPERLINK("http://141.218.60.56/~jnz1568/getInfo.php?workbook=11_01.xlsx&amp;sheet=E0&amp;row=9&amp;col=10&amp;number=11820032.92&amp;sourceID=2","11820032.92")</f>
        <v>11820032.92</v>
      </c>
      <c r="K9" s="4" t="str">
        <f>HYPERLINK("http://141.218.60.56/~jnz1568/getInfo.php?workbook=11_01.xlsx&amp;sheet=E0&amp;row=9&amp;col=11&amp;number=11821650.349&amp;sourceID=11","11821650.349")</f>
        <v>11821650.349</v>
      </c>
      <c r="L9" s="4" t="str">
        <f>HYPERLINK("http://141.218.60.56/~jnz1568/getInfo.php?workbook=11_01.xlsx&amp;sheet=E0&amp;row=9&amp;col=12&amp;number=11820044&amp;sourceID=12","11820044")</f>
        <v>11820044</v>
      </c>
      <c r="M9" s="4" t="str">
        <f>HYPERLINK("http://141.218.60.56/~jnz1568/getInfo.php?workbook=11_01.xlsx&amp;sheet=E0&amp;row=9&amp;col=13&amp;number=11821932.9817&amp;sourceID=30","11821932.9817")</f>
        <v>11821932.9817</v>
      </c>
      <c r="N9" s="4" t="str">
        <f>HYPERLINK("http://141.218.60.56/~jnz1568/getInfo.php?workbook=11_01.xlsx&amp;sheet=E0&amp;row=9&amp;col=14&amp;number=11820327.5247&amp;sourceID=30","11820327.5247")</f>
        <v>11820327.5247</v>
      </c>
      <c r="O9" s="4" t="str">
        <f>HYPERLINK("http://141.218.60.56/~jnz1568/getInfo.php?workbook=11_01.xlsx&amp;sheet=E0&amp;row=9&amp;col=15&amp;number=11821905&amp;sourceID=13","11821905")</f>
        <v>11821905</v>
      </c>
    </row>
    <row r="10" spans="1:15">
      <c r="A10" s="3">
        <v>11</v>
      </c>
      <c r="B10" s="3">
        <v>1</v>
      </c>
      <c r="C10" s="3">
        <f/>
        <v>0</v>
      </c>
      <c r="D10" s="3" t="s">
        <v>24</v>
      </c>
      <c r="E10" s="3" t="s">
        <v>25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HYPERLINK("http://141.218.60.56/~jnz1568/getInfo.php?workbook=11_01.xlsx&amp;sheet=E0&amp;row=10&amp;col=10&amp;number=11821556.228&amp;sourceID=2","11821556.228")</f>
        <v>11821556.228</v>
      </c>
      <c r="K10" s="4" t="str">
        <f>HYPERLINK("http://141.218.60.56/~jnz1568/getInfo.php?workbook=11_01.xlsx&amp;sheet=E0&amp;row=10&amp;col=11&amp;number=11823241.321&amp;sourceID=11","11823241.321")</f>
        <v>11823241.321</v>
      </c>
      <c r="L10" s="4" t="str">
        <f>HYPERLINK("http://141.218.60.56/~jnz1568/getInfo.php?workbook=11_01.xlsx&amp;sheet=E0&amp;row=10&amp;col=12&amp;number=11821567&amp;sourceID=12","11821567")</f>
        <v>11821567</v>
      </c>
      <c r="M10" s="4" t="str">
        <f>HYPERLINK("http://141.218.60.56/~jnz1568/getInfo.php?workbook=11_01.xlsx&amp;sheet=E0&amp;row=10&amp;col=13&amp;number=11823523.0754&amp;sourceID=30","11823523.0754")</f>
        <v>11823523.0754</v>
      </c>
      <c r="N10" s="4" t="str">
        <f>HYPERLINK("http://141.218.60.56/~jnz1568/getInfo.php?workbook=11_01.xlsx&amp;sheet=E0&amp;row=10&amp;col=14&amp;number=11821852.8734&amp;sourceID=30","11821852.8734")</f>
        <v>11821852.8734</v>
      </c>
      <c r="O10" s="4" t="str">
        <f>HYPERLINK("http://141.218.60.56/~jnz1568/getInfo.php?workbook=11_01.xlsx&amp;sheet=E0&amp;row=10&amp;col=15&amp;number=11823479&amp;sourceID=13","11823479")</f>
        <v>11823479</v>
      </c>
    </row>
    <row r="11" spans="1:15">
      <c r="A11" s="3">
        <v>11</v>
      </c>
      <c r="B11" s="3">
        <v>1</v>
      </c>
      <c r="C11" s="3">
        <f/>
        <v>0</v>
      </c>
      <c r="D11" s="3" t="s">
        <v>22</v>
      </c>
      <c r="E11" s="3" t="s">
        <v>20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HYPERLINK("http://141.218.60.56/~jnz1568/getInfo.php?workbook=11_01.xlsx&amp;sheet=E0&amp;row=11&amp;col=10&amp;number=11821558.94&amp;sourceID=2","11821558.94")</f>
        <v>11821558.94</v>
      </c>
      <c r="K11" s="4" t="str">
        <f>HYPERLINK("http://141.218.60.56/~jnz1568/getInfo.php?workbook=11_01.xlsx&amp;sheet=E0&amp;row=11&amp;col=11&amp;number=11823241.321&amp;sourceID=11","11823241.321")</f>
        <v>11823241.321</v>
      </c>
      <c r="L11" s="4" t="str">
        <f>HYPERLINK("http://141.218.60.56/~jnz1568/getInfo.php?workbook=11_01.xlsx&amp;sheet=E0&amp;row=11&amp;col=12&amp;number=11821570&amp;sourceID=12","11821570")</f>
        <v>11821570</v>
      </c>
      <c r="M11" s="4" t="str">
        <f>HYPERLINK("http://141.218.60.56/~jnz1568/getInfo.php?workbook=11_01.xlsx&amp;sheet=E0&amp;row=11&amp;col=13&amp;number=11823523.0754&amp;sourceID=30","11823523.0754")</f>
        <v>11823523.0754</v>
      </c>
      <c r="N11" s="4" t="str">
        <f>HYPERLINK("http://141.218.60.56/~jnz1568/getInfo.php?workbook=11_01.xlsx&amp;sheet=E0&amp;row=11&amp;col=14&amp;number=11821856.1655&amp;sourceID=30","11821856.1655")</f>
        <v>11821856.1655</v>
      </c>
      <c r="O11" s="4" t="str">
        <f>HYPERLINK("http://141.218.60.56/~jnz1568/getInfo.php?workbook=11_01.xlsx&amp;sheet=E0&amp;row=11&amp;col=15&amp;number=11823480&amp;sourceID=13","11823480")</f>
        <v>11823480</v>
      </c>
    </row>
    <row r="12" spans="1:15">
      <c r="A12" s="3">
        <v>11</v>
      </c>
      <c r="B12" s="3">
        <v>1</v>
      </c>
      <c r="C12" s="3">
        <f/>
        <v>0</v>
      </c>
      <c r="D12" s="3" t="s">
        <v>24</v>
      </c>
      <c r="E12" s="3" t="s">
        <v>25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HYPERLINK("http://141.218.60.56/~jnz1568/getInfo.php?workbook=11_01.xlsx&amp;sheet=E0&amp;row=12&amp;col=10&amp;number=11822086.16&amp;sourceID=2","11822086.16")</f>
        <v>11822086.16</v>
      </c>
      <c r="K12" s="4" t="str">
        <f>HYPERLINK("http://141.218.60.56/~jnz1568/getInfo.php?workbook=11_01.xlsx&amp;sheet=E0&amp;row=12&amp;col=11&amp;number=11823770.03&amp;sourceID=11","11823770.03")</f>
        <v>11823770.03</v>
      </c>
      <c r="L12" s="4" t="str">
        <f>HYPERLINK("http://141.218.60.56/~jnz1568/getInfo.php?workbook=11_01.xlsx&amp;sheet=E0&amp;row=12&amp;col=12&amp;number=11822097&amp;sourceID=12","11822097")</f>
        <v>11822097</v>
      </c>
      <c r="M12" s="4" t="str">
        <f>HYPERLINK("http://141.218.60.56/~jnz1568/getInfo.php?workbook=11_01.xlsx&amp;sheet=E0&amp;row=12&amp;col=13&amp;number=11824053.1066&amp;sourceID=30","11824053.1066")</f>
        <v>11824053.1066</v>
      </c>
      <c r="N12" s="4" t="str">
        <f>HYPERLINK("http://141.218.60.56/~jnz1568/getInfo.php?workbook=11_01.xlsx&amp;sheet=E0&amp;row=12&amp;col=14&amp;number=11822381.8073&amp;sourceID=30","11822381.8073")</f>
        <v>11822381.8073</v>
      </c>
      <c r="O12" s="4" t="str">
        <f>HYPERLINK("http://141.218.60.56/~jnz1568/getInfo.php?workbook=11_01.xlsx&amp;sheet=E0&amp;row=12&amp;col=15&amp;number=11824008&amp;sourceID=13","11824008")</f>
        <v>11824008</v>
      </c>
    </row>
    <row r="13" spans="1:15">
      <c r="A13" s="3">
        <v>11</v>
      </c>
      <c r="B13" s="3">
        <v>1</v>
      </c>
      <c r="C13" s="3">
        <f/>
        <v>0</v>
      </c>
      <c r="D13" s="3" t="s">
        <v>26</v>
      </c>
      <c r="E13" s="3" t="s">
        <v>20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HYPERLINK("http://141.218.60.56/~jnz1568/getInfo.php?workbook=11_01.xlsx&amp;sheet=E0&amp;row=13&amp;col=10&amp;number=12466713.33&amp;sourceID=2","12466713.33")</f>
        <v>12466713.33</v>
      </c>
      <c r="K13" s="4" t="str">
        <f>HYPERLINK("http://141.218.60.56/~jnz1568/getInfo.php?workbook=11_01.xlsx&amp;sheet=E0&amp;row=13&amp;col=11&amp;number=12468398.368&amp;sourceID=11","12468398.368")</f>
        <v>12468398.368</v>
      </c>
      <c r="L13" s="4" t="str">
        <f>HYPERLINK("http://141.218.60.56/~jnz1568/getInfo.php?workbook=11_01.xlsx&amp;sheet=E0&amp;row=13&amp;col=12&amp;number=12466724&amp;sourceID=12","12466724")</f>
        <v>12466724</v>
      </c>
      <c r="M13" s="4" t="str">
        <f>HYPERLINK("http://141.218.60.56/~jnz1568/getInfo.php?workbook=11_01.xlsx&amp;sheet=E0&amp;row=13&amp;col=13&amp;number=12468696.1886&amp;sourceID=30","12468696.1886")</f>
        <v>12468696.1886</v>
      </c>
      <c r="N13" s="4" t="str">
        <f>HYPERLINK("http://141.218.60.56/~jnz1568/getInfo.php?workbook=11_01.xlsx&amp;sheet=E0&amp;row=13&amp;col=14&amp;number=12467053.421&amp;sourceID=30","12467053.421")</f>
        <v>12467053.421</v>
      </c>
      <c r="O13" s="4" t="str">
        <f>HYPERLINK("http://141.218.60.56/~jnz1568/getInfo.php?workbook=11_01.xlsx&amp;sheet=E0&amp;row=13&amp;col=15&amp;number=12468661&amp;sourceID=13","12468661")</f>
        <v>12468661</v>
      </c>
    </row>
    <row r="14" spans="1:15">
      <c r="A14" s="3">
        <v>11</v>
      </c>
      <c r="B14" s="3">
        <v>1</v>
      </c>
      <c r="C14" s="3">
        <f/>
        <v>0</v>
      </c>
      <c r="D14" s="3" t="s">
        <v>27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HYPERLINK("http://141.218.60.56/~jnz1568/getInfo.php?workbook=11_01.xlsx&amp;sheet=E0&amp;row=14&amp;col=10&amp;number=12466742.32&amp;sourceID=2","12466742.32")</f>
        <v>12466742.32</v>
      </c>
      <c r="K14" s="4" t="str">
        <f>HYPERLINK("http://141.218.60.56/~jnz1568/getInfo.php?workbook=11_01.xlsx&amp;sheet=E0&amp;row=14&amp;col=11&amp;number=12468398.368&amp;sourceID=11","12468398.368")</f>
        <v>12468398.368</v>
      </c>
      <c r="L14" s="4" t="str">
        <f>HYPERLINK("http://141.218.60.56/~jnz1568/getInfo.php?workbook=11_01.xlsx&amp;sheet=E0&amp;row=14&amp;col=12&amp;number=12466753&amp;sourceID=12","12466753")</f>
        <v>12466753</v>
      </c>
      <c r="M14" s="4" t="str">
        <f>HYPERLINK("http://141.218.60.56/~jnz1568/getInfo.php?workbook=11_01.xlsx&amp;sheet=E0&amp;row=14&amp;col=13&amp;number=12468696.1886&amp;sourceID=30","12468696.1886")</f>
        <v>12468696.1886</v>
      </c>
      <c r="N14" s="4" t="str">
        <f>HYPERLINK("http://141.218.60.56/~jnz1568/getInfo.php?workbook=11_01.xlsx&amp;sheet=E0&amp;row=14&amp;col=14&amp;number=12467024.8893&amp;sourceID=30","12467024.8893")</f>
        <v>12467024.8893</v>
      </c>
      <c r="O14" s="4" t="str">
        <f>HYPERLINK("http://141.218.60.56/~jnz1568/getInfo.php?workbook=11_01.xlsx&amp;sheet=E0&amp;row=14&amp;col=15&amp;number=12468663&amp;sourceID=13","12468663")</f>
        <v>12468663</v>
      </c>
    </row>
    <row r="15" spans="1:15">
      <c r="A15" s="3">
        <v>11</v>
      </c>
      <c r="B15" s="3">
        <v>1</v>
      </c>
      <c r="C15" s="3">
        <f/>
        <v>0</v>
      </c>
      <c r="D15" s="3" t="s">
        <v>28</v>
      </c>
      <c r="E15" s="3" t="s">
        <v>25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HYPERLINK("http://141.218.60.56/~jnz1568/getInfo.php?workbook=11_01.xlsx&amp;sheet=E0&amp;row=15&amp;col=10&amp;number=12467384.762&amp;sourceID=2","12467384.762")</f>
        <v>12467384.762</v>
      </c>
      <c r="K15" s="4" t="str">
        <f>HYPERLINK("http://141.218.60.56/~jnz1568/getInfo.php?workbook=11_01.xlsx&amp;sheet=E0&amp;row=15&amp;col=11&amp;number=12469069.469&amp;sourceID=11","12469069.469")</f>
        <v>12469069.469</v>
      </c>
      <c r="L15" s="4" t="str">
        <f>HYPERLINK("http://141.218.60.56/~jnz1568/getInfo.php?workbook=11_01.xlsx&amp;sheet=E0&amp;row=15&amp;col=12&amp;number=12467396&amp;sourceID=12","12467396")</f>
        <v>12467396</v>
      </c>
      <c r="M15" s="4" t="str">
        <f>HYPERLINK("http://141.218.60.56/~jnz1568/getInfo.php?workbook=11_01.xlsx&amp;sheet=E0&amp;row=15&amp;col=13&amp;number=12469366.6836&amp;sourceID=30","12469366.6836")</f>
        <v>12469366.6836</v>
      </c>
      <c r="N15" s="4" t="str">
        <f>HYPERLINK("http://141.218.60.56/~jnz1568/getInfo.php?workbook=11_01.xlsx&amp;sheet=E0&amp;row=15&amp;col=14&amp;number=12467696.4817&amp;sourceID=30","12467696.4817")</f>
        <v>12467696.4817</v>
      </c>
      <c r="O15" s="4" t="str">
        <f>HYPERLINK("http://141.218.60.56/~jnz1568/getInfo.php?workbook=11_01.xlsx&amp;sheet=E0&amp;row=15&amp;col=15&amp;number=12469323&amp;sourceID=13","12469323")</f>
        <v>12469323</v>
      </c>
    </row>
    <row r="16" spans="1:15">
      <c r="A16" s="3">
        <v>11</v>
      </c>
      <c r="B16" s="3">
        <v>1</v>
      </c>
      <c r="C16" s="3">
        <f/>
        <v>0</v>
      </c>
      <c r="D16" s="3" t="s">
        <v>26</v>
      </c>
      <c r="E16" s="3" t="s">
        <v>20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HYPERLINK("http://141.218.60.56/~jnz1568/getInfo.php?workbook=11_01.xlsx&amp;sheet=E0&amp;row=16&amp;col=10&amp;number=12467385.92&amp;sourceID=2","12467385.92")</f>
        <v>12467385.92</v>
      </c>
      <c r="K16" s="4" t="str">
        <f>HYPERLINK("http://141.218.60.56/~jnz1568/getInfo.php?workbook=11_01.xlsx&amp;sheet=E0&amp;row=16&amp;col=11&amp;number=12469069.469&amp;sourceID=11","12469069.469")</f>
        <v>12469069.469</v>
      </c>
      <c r="L16" s="4" t="str">
        <f>HYPERLINK("http://141.218.60.56/~jnz1568/getInfo.php?workbook=11_01.xlsx&amp;sheet=E0&amp;row=16&amp;col=12&amp;number=12467397&amp;sourceID=12","12467397")</f>
        <v>12467397</v>
      </c>
      <c r="M16" s="4" t="str">
        <f>HYPERLINK("http://141.218.60.56/~jnz1568/getInfo.php?workbook=11_01.xlsx&amp;sheet=E0&amp;row=16&amp;col=13&amp;number=12469366.6836&amp;sourceID=30","12469366.6836")</f>
        <v>12469366.6836</v>
      </c>
      <c r="N16" s="4" t="str">
        <f>HYPERLINK("http://141.218.60.56/~jnz1568/getInfo.php?workbook=11_01.xlsx&amp;sheet=E0&amp;row=16&amp;col=14&amp;number=12467697.579&amp;sourceID=30","12467697.579")</f>
        <v>12467697.579</v>
      </c>
      <c r="O16" s="4" t="str">
        <f>HYPERLINK("http://141.218.60.56/~jnz1568/getInfo.php?workbook=11_01.xlsx&amp;sheet=E0&amp;row=16&amp;col=15&amp;number=12469324&amp;sourceID=13","12469324")</f>
        <v>12469324</v>
      </c>
    </row>
    <row r="17" spans="1:15">
      <c r="A17" s="3">
        <v>11</v>
      </c>
      <c r="B17" s="3">
        <v>1</v>
      </c>
      <c r="C17" s="3">
        <f/>
        <v>0</v>
      </c>
      <c r="D17" s="3" t="s">
        <v>29</v>
      </c>
      <c r="E17" s="3" t="s">
        <v>30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HYPERLINK("http://141.218.60.56/~jnz1568/getInfo.php?workbook=11_01.xlsx&amp;sheet=E0&amp;row=17&amp;col=10&amp;number=12467607.953&amp;sourceID=2","12467607.953")</f>
        <v>12467607.953</v>
      </c>
      <c r="K17" s="4" t="str">
        <f>HYPERLINK("http://141.218.60.56/~jnz1568/getInfo.php?workbook=11_01.xlsx&amp;sheet=E0&amp;row=17&amp;col=11&amp;number=12469292.548&amp;sourceID=11","12469292.548")</f>
        <v>12469292.548</v>
      </c>
      <c r="L17" s="4" t="str">
        <f>HYPERLINK("http://141.218.60.56/~jnz1568/getInfo.php?workbook=11_01.xlsx&amp;sheet=E0&amp;row=17&amp;col=12&amp;number=12467619&amp;sourceID=12","12467619")</f>
        <v>12467619</v>
      </c>
      <c r="M17" s="4" t="str">
        <f>HYPERLINK("http://141.218.60.56/~jnz1568/getInfo.php?workbook=11_01.xlsx&amp;sheet=E0&amp;row=17&amp;col=13&amp;number=12469589.4503&amp;sourceID=30","12469589.4503")</f>
        <v>12469589.4503</v>
      </c>
      <c r="N17" s="4" t="str">
        <f>HYPERLINK("http://141.218.60.56/~jnz1568/getInfo.php?workbook=11_01.xlsx&amp;sheet=E0&amp;row=17&amp;col=14&amp;number=12467920.3458&amp;sourceID=30","12467920.3458")</f>
        <v>12467920.3458</v>
      </c>
      <c r="O17" s="4" t="str">
        <f>HYPERLINK("http://141.218.60.56/~jnz1568/getInfo.php?workbook=11_01.xlsx&amp;sheet=E0&amp;row=17&amp;col=15&amp;number=12469546&amp;sourceID=13","12469546")</f>
        <v>12469546</v>
      </c>
    </row>
    <row r="18" spans="1:15">
      <c r="A18" s="3">
        <v>11</v>
      </c>
      <c r="B18" s="3">
        <v>1</v>
      </c>
      <c r="C18" s="3">
        <f/>
        <v>0</v>
      </c>
      <c r="D18" s="3" t="s">
        <v>28</v>
      </c>
      <c r="E18" s="3" t="s">
        <v>25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HYPERLINK("http://141.218.60.56/~jnz1568/getInfo.php?workbook=11_01.xlsx&amp;sheet=E0&amp;row=18&amp;col=10&amp;number=12467608.357&amp;sourceID=2","12467608.357")</f>
        <v>12467608.357</v>
      </c>
      <c r="K18" s="4" t="str">
        <f>HYPERLINK("http://141.218.60.56/~jnz1568/getInfo.php?workbook=11_01.xlsx&amp;sheet=E0&amp;row=18&amp;col=11&amp;number=12469292.548&amp;sourceID=11","12469292.548")</f>
        <v>12469292.548</v>
      </c>
      <c r="L18" s="4" t="str">
        <f>HYPERLINK("http://141.218.60.56/~jnz1568/getInfo.php?workbook=11_01.xlsx&amp;sheet=E0&amp;row=18&amp;col=12&amp;number=12467619&amp;sourceID=12","12467619")</f>
        <v>12467619</v>
      </c>
      <c r="M18" s="4" t="str">
        <f>HYPERLINK("http://141.218.60.56/~jnz1568/getInfo.php?workbook=11_01.xlsx&amp;sheet=E0&amp;row=18&amp;col=13&amp;number=12469589.4503&amp;sourceID=30","12469589.4503")</f>
        <v>12469589.4503</v>
      </c>
      <c r="N18" s="4" t="str">
        <f>HYPERLINK("http://141.218.60.56/~jnz1568/getInfo.php?workbook=11_01.xlsx&amp;sheet=E0&amp;row=18&amp;col=14&amp;number=12467920.3458&amp;sourceID=30","12467920.3458")</f>
        <v>12467920.3458</v>
      </c>
      <c r="O18" s="4" t="str">
        <f>HYPERLINK("http://141.218.60.56/~jnz1568/getInfo.php?workbook=11_01.xlsx&amp;sheet=E0&amp;row=18&amp;col=15&amp;number=12469546&amp;sourceID=13","12469546")</f>
        <v>12469546</v>
      </c>
    </row>
    <row r="19" spans="1:15">
      <c r="A19" s="3">
        <v>11</v>
      </c>
      <c r="B19" s="3">
        <v>1</v>
      </c>
      <c r="C19" s="3">
        <f/>
        <v>0</v>
      </c>
      <c r="D19" s="3" t="s">
        <v>29</v>
      </c>
      <c r="E19" s="3" t="s">
        <v>30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HYPERLINK("http://141.218.60.56/~jnz1568/getInfo.php?workbook=11_01.xlsx&amp;sheet=E0&amp;row=19&amp;col=10&amp;number=12467719.668&amp;sourceID=2","12467719.668")</f>
        <v>12467719.668</v>
      </c>
      <c r="K19" s="4" t="str">
        <f>HYPERLINK("http://141.218.60.56/~jnz1568/getInfo.php?workbook=11_01.xlsx&amp;sheet=E0&amp;row=19&amp;col=11&amp;number=12469404.005&amp;sourceID=11","12469404.005")</f>
        <v>12469404.005</v>
      </c>
      <c r="L19" s="4" t="str">
        <f>HYPERLINK("http://141.218.60.56/~jnz1568/getInfo.php?workbook=11_01.xlsx&amp;sheet=E0&amp;row=19&amp;col=12&amp;number=12467730&amp;sourceID=12","12467730")</f>
        <v>12467730</v>
      </c>
      <c r="M19" s="4" t="str">
        <f>HYPERLINK("http://141.218.60.56/~jnz1568/getInfo.php?workbook=11_01.xlsx&amp;sheet=E0&amp;row=19&amp;col=13&amp;number=12469701.3824&amp;sourceID=30","12469701.3824")</f>
        <v>12469701.3824</v>
      </c>
      <c r="N19" s="4" t="str">
        <f>HYPERLINK("http://141.218.60.56/~jnz1568/getInfo.php?workbook=11_01.xlsx&amp;sheet=E0&amp;row=19&amp;col=14&amp;number=12468032.2778&amp;sourceID=30","12468032.2778")</f>
        <v>12468032.2778</v>
      </c>
      <c r="O19" s="4" t="str">
        <f>HYPERLINK("http://141.218.60.56/~jnz1568/getInfo.php?workbook=11_01.xlsx&amp;sheet=E0&amp;row=19&amp;col=15&amp;number=12469657&amp;sourceID=13","12469657")</f>
        <v>12469657</v>
      </c>
    </row>
    <row r="20" spans="1:15">
      <c r="A20" s="3">
        <v>11</v>
      </c>
      <c r="B20" s="3">
        <v>1</v>
      </c>
      <c r="C20" s="3">
        <f/>
        <v>0</v>
      </c>
      <c r="D20" s="3" t="s">
        <v>31</v>
      </c>
      <c r="E20" s="3" t="s">
        <v>20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HYPERLINK("http://141.218.60.56/~jnz1568/getInfo.php?workbook=11_01.xlsx&amp;sheet=E0&amp;row=20&amp;col=10&amp;number=12765972.25&amp;sourceID=2","12765972.25")</f>
        <v>12765972.25</v>
      </c>
      <c r="K20" s="4" t="str">
        <f>HYPERLINK("http://141.218.60.56/~jnz1568/getInfo.php?workbook=11_01.xlsx&amp;sheet=E0&amp;row=20&amp;col=11&amp;number=12767656.982&amp;sourceID=11","12767656.982")</f>
        <v>12767656.982</v>
      </c>
      <c r="L20" s="4" t="str">
        <f>HYPERLINK("http://141.218.60.56/~jnz1568/getInfo.php?workbook=11_01.xlsx&amp;sheet=E0&amp;row=20&amp;col=12&amp;number=12765983&amp;sourceID=12","12765983")</f>
        <v>12765983</v>
      </c>
      <c r="M20" s="4" t="str">
        <f>HYPERLINK("http://141.218.60.56/~jnz1568/getInfo.php?workbook=11_01.xlsx&amp;sheet=E0&amp;row=20&amp;col=13&amp;number=12767961.9196&amp;sourceID=30","12767961.9196")</f>
        <v>12767961.9196</v>
      </c>
      <c r="N20" s="4" t="str">
        <f>HYPERLINK("http://141.218.60.56/~jnz1568/getInfo.php?workbook=11_01.xlsx&amp;sheet=E0&amp;row=20&amp;col=14&amp;number=12766291.7176&amp;sourceID=30","12766291.7176")</f>
        <v>12766291.7176</v>
      </c>
      <c r="O20" s="4" t="str">
        <f>HYPERLINK("http://141.218.60.56/~jnz1568/getInfo.php?workbook=11_01.xlsx&amp;sheet=E0&amp;row=20&amp;col=15&amp;number=&amp;sourceID=13","")</f>
        <v/>
      </c>
    </row>
    <row r="21" spans="1:15">
      <c r="A21" s="3">
        <v>11</v>
      </c>
      <c r="B21" s="3">
        <v>1</v>
      </c>
      <c r="C21" s="3">
        <f/>
        <v>0</v>
      </c>
      <c r="D21" s="3" t="s">
        <v>32</v>
      </c>
      <c r="E21" s="3" t="s">
        <v>18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HYPERLINK("http://141.218.60.56/~jnz1568/getInfo.php?workbook=11_01.xlsx&amp;sheet=E0&amp;row=21&amp;col=10&amp;number=12765987.11&amp;sourceID=2","12765987.11")</f>
        <v>12765987.11</v>
      </c>
      <c r="K21" s="4" t="str">
        <f>HYPERLINK("http://141.218.60.56/~jnz1568/getInfo.php?workbook=11_01.xlsx&amp;sheet=E0&amp;row=21&amp;col=11&amp;number=12767656.982&amp;sourceID=11","12767656.982")</f>
        <v>12767656.982</v>
      </c>
      <c r="L21" s="4" t="str">
        <f>HYPERLINK("http://141.218.60.56/~jnz1568/getInfo.php?workbook=11_01.xlsx&amp;sheet=E0&amp;row=21&amp;col=12&amp;number=12765998&amp;sourceID=12","12765998")</f>
        <v>12765998</v>
      </c>
      <c r="M21" s="4" t="str">
        <f>HYPERLINK("http://141.218.60.56/~jnz1568/getInfo.php?workbook=11_01.xlsx&amp;sheet=E0&amp;row=21&amp;col=13&amp;number=12767961.9196&amp;sourceID=30","12767961.9196")</f>
        <v>12767961.9196</v>
      </c>
      <c r="N21" s="4" t="str">
        <f>HYPERLINK("http://141.218.60.56/~jnz1568/getInfo.php?workbook=11_01.xlsx&amp;sheet=E0&amp;row=21&amp;col=14&amp;number=12766305.9835&amp;sourceID=30","12766305.9835")</f>
        <v>12766305.9835</v>
      </c>
      <c r="O21" s="4" t="str">
        <f>HYPERLINK("http://141.218.60.56/~jnz1568/getInfo.php?workbook=11_01.xlsx&amp;sheet=E0&amp;row=21&amp;col=15&amp;number=&amp;sourceID=13","")</f>
        <v/>
      </c>
    </row>
    <row r="22" spans="1:15">
      <c r="A22" s="3">
        <v>11</v>
      </c>
      <c r="B22" s="3">
        <v>1</v>
      </c>
      <c r="C22" s="3">
        <f/>
        <v>0</v>
      </c>
      <c r="D22" s="3" t="s">
        <v>33</v>
      </c>
      <c r="E22" s="3" t="s">
        <v>25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HYPERLINK("http://141.218.60.56/~jnz1568/getInfo.php?workbook=11_01.xlsx&amp;sheet=E0&amp;row=22&amp;col=10&amp;number=12766315.956&amp;sourceID=2","12766315.956")</f>
        <v>12766315.956</v>
      </c>
      <c r="K22" s="4" t="str">
        <f>HYPERLINK("http://141.218.60.56/~jnz1568/getInfo.php?workbook=11_01.xlsx&amp;sheet=E0&amp;row=22&amp;col=11&amp;number=12768000.536&amp;sourceID=11","12768000.536")</f>
        <v>12768000.536</v>
      </c>
      <c r="L22" s="4" t="str">
        <f>HYPERLINK("http://141.218.60.56/~jnz1568/getInfo.php?workbook=11_01.xlsx&amp;sheet=E0&amp;row=22&amp;col=12&amp;number=12766327&amp;sourceID=12","12766327")</f>
        <v>12766327</v>
      </c>
      <c r="M22" s="4" t="str">
        <f>HYPERLINK("http://141.218.60.56/~jnz1568/getInfo.php?workbook=11_01.xlsx&amp;sheet=E0&amp;row=22&amp;col=13&amp;number=12768305.3974&amp;sourceID=30","12768305.3974")</f>
        <v>12768305.3974</v>
      </c>
      <c r="N22" s="4" t="str">
        <f>HYPERLINK("http://141.218.60.56/~jnz1568/getInfo.php?workbook=11_01.xlsx&amp;sheet=E0&amp;row=22&amp;col=14&amp;number=12766635.1954&amp;sourceID=30","12766635.1954")</f>
        <v>12766635.1954</v>
      </c>
      <c r="O22" s="4" t="str">
        <f>HYPERLINK("http://141.218.60.56/~jnz1568/getInfo.php?workbook=11_01.xlsx&amp;sheet=E0&amp;row=22&amp;col=15&amp;number=&amp;sourceID=13","")</f>
        <v/>
      </c>
    </row>
    <row r="23" spans="1:15">
      <c r="A23" s="3">
        <v>11</v>
      </c>
      <c r="B23" s="3">
        <v>1</v>
      </c>
      <c r="C23" s="3">
        <f/>
        <v>0</v>
      </c>
      <c r="D23" s="3" t="s">
        <v>31</v>
      </c>
      <c r="E23" s="3" t="s">
        <v>20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HYPERLINK("http://141.218.60.56/~jnz1568/getInfo.php?workbook=11_01.xlsx&amp;sheet=E0&amp;row=23&amp;col=10&amp;number=12766316.554&amp;sourceID=2","12766316.554")</f>
        <v>12766316.554</v>
      </c>
      <c r="K23" s="4" t="str">
        <f>HYPERLINK("http://141.218.60.56/~jnz1568/getInfo.php?workbook=11_01.xlsx&amp;sheet=E0&amp;row=23&amp;col=11&amp;number=12768000.536&amp;sourceID=11","12768000.536")</f>
        <v>12768000.536</v>
      </c>
      <c r="L23" s="4" t="str">
        <f>HYPERLINK("http://141.218.60.56/~jnz1568/getInfo.php?workbook=11_01.xlsx&amp;sheet=E0&amp;row=23&amp;col=12&amp;number=12766327&amp;sourceID=12","12766327")</f>
        <v>12766327</v>
      </c>
      <c r="M23" s="4" t="str">
        <f>HYPERLINK("http://141.218.60.56/~jnz1568/getInfo.php?workbook=11_01.xlsx&amp;sheet=E0&amp;row=23&amp;col=13&amp;number=12768305.3974&amp;sourceID=30","12768305.3974")</f>
        <v>12768305.3974</v>
      </c>
      <c r="N23" s="4" t="str">
        <f>HYPERLINK("http://141.218.60.56/~jnz1568/getInfo.php?workbook=11_01.xlsx&amp;sheet=E0&amp;row=23&amp;col=14&amp;number=12766635.1954&amp;sourceID=30","12766635.1954")</f>
        <v>12766635.1954</v>
      </c>
      <c r="O23" s="4" t="str">
        <f>HYPERLINK("http://141.218.60.56/~jnz1568/getInfo.php?workbook=11_01.xlsx&amp;sheet=E0&amp;row=23&amp;col=15&amp;number=&amp;sourceID=13","")</f>
        <v/>
      </c>
    </row>
    <row r="24" spans="1:15">
      <c r="A24" s="3">
        <v>11</v>
      </c>
      <c r="B24" s="3">
        <v>1</v>
      </c>
      <c r="C24" s="3">
        <f/>
        <v>0</v>
      </c>
      <c r="D24" s="3" t="s">
        <v>34</v>
      </c>
      <c r="E24" s="3" t="s">
        <v>30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HYPERLINK("http://141.218.60.56/~jnz1568/getInfo.php?workbook=11_01.xlsx&amp;sheet=E0&amp;row=24&amp;col=10&amp;number=12766430.23&amp;sourceID=2","12766430.23")</f>
        <v>12766430.23</v>
      </c>
      <c r="K24" s="4" t="str">
        <f>HYPERLINK("http://141.218.60.56/~jnz1568/getInfo.php?workbook=11_01.xlsx&amp;sheet=E0&amp;row=24&amp;col=11&amp;number=12768114.754&amp;sourceID=11","12768114.754")</f>
        <v>12768114.754</v>
      </c>
      <c r="L24" s="4" t="str">
        <f>HYPERLINK("http://141.218.60.56/~jnz1568/getInfo.php?workbook=11_01.xlsx&amp;sheet=E0&amp;row=24&amp;col=12&amp;number=12766441&amp;sourceID=12","12766441")</f>
        <v>12766441</v>
      </c>
      <c r="M24" s="4" t="str">
        <f>HYPERLINK("http://141.218.60.56/~jnz1568/getInfo.php?workbook=11_01.xlsx&amp;sheet=E0&amp;row=24&amp;col=13&amp;number=12768419.5242&amp;sourceID=30","12768419.5242")</f>
        <v>12768419.5242</v>
      </c>
      <c r="N24" s="4" t="str">
        <f>HYPERLINK("http://141.218.60.56/~jnz1568/getInfo.php?workbook=11_01.xlsx&amp;sheet=E0&amp;row=24&amp;col=14&amp;number=12766749.3222&amp;sourceID=30","12766749.3222")</f>
        <v>12766749.3222</v>
      </c>
      <c r="O24" s="4" t="str">
        <f>HYPERLINK("http://141.218.60.56/~jnz1568/getInfo.php?workbook=11_01.xlsx&amp;sheet=E0&amp;row=24&amp;col=15&amp;number=&amp;sourceID=13","")</f>
        <v/>
      </c>
    </row>
    <row r="25" spans="1:15">
      <c r="A25" s="3">
        <v>11</v>
      </c>
      <c r="B25" s="3">
        <v>1</v>
      </c>
      <c r="C25" s="3">
        <f/>
        <v>0</v>
      </c>
      <c r="D25" s="3" t="s">
        <v>33</v>
      </c>
      <c r="E25" s="3" t="s">
        <v>25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HYPERLINK("http://141.218.60.56/~jnz1568/getInfo.php?workbook=11_01.xlsx&amp;sheet=E0&amp;row=25&amp;col=10&amp;number=12766430.438&amp;sourceID=2","12766430.438")</f>
        <v>12766430.438</v>
      </c>
      <c r="K25" s="4" t="str">
        <f>HYPERLINK("http://141.218.60.56/~jnz1568/getInfo.php?workbook=11_01.xlsx&amp;sheet=E0&amp;row=25&amp;col=11&amp;number=12768114.754&amp;sourceID=11","12768114.754")</f>
        <v>12768114.754</v>
      </c>
      <c r="L25" s="4" t="str">
        <f>HYPERLINK("http://141.218.60.56/~jnz1568/getInfo.php?workbook=11_01.xlsx&amp;sheet=E0&amp;row=25&amp;col=12&amp;number=12766441&amp;sourceID=12","12766441")</f>
        <v>12766441</v>
      </c>
      <c r="M25" s="4" t="str">
        <f>HYPERLINK("http://141.218.60.56/~jnz1568/getInfo.php?workbook=11_01.xlsx&amp;sheet=E0&amp;row=25&amp;col=13&amp;number=12768419.5242&amp;sourceID=30","12768419.5242")</f>
        <v>12768419.5242</v>
      </c>
      <c r="N25" s="4" t="str">
        <f>HYPERLINK("http://141.218.60.56/~jnz1568/getInfo.php?workbook=11_01.xlsx&amp;sheet=E0&amp;row=25&amp;col=14&amp;number=12766749.3222&amp;sourceID=30","12766749.3222")</f>
        <v>12766749.3222</v>
      </c>
      <c r="O25" s="4" t="str">
        <f>HYPERLINK("http://141.218.60.56/~jnz1568/getInfo.php?workbook=11_01.xlsx&amp;sheet=E0&amp;row=25&amp;col=15&amp;number=&amp;sourceID=13","")</f>
        <v/>
      </c>
    </row>
    <row r="26" spans="1:15">
      <c r="A26" s="3">
        <v>11</v>
      </c>
      <c r="B26" s="3">
        <v>1</v>
      </c>
      <c r="C26" s="3">
        <f/>
        <v>0</v>
      </c>
      <c r="D26" s="3" t="s">
        <v>35</v>
      </c>
      <c r="E26" s="3" t="s">
        <v>36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HYPERLINK("http://141.218.60.56/~jnz1568/getInfo.php?workbook=11_01.xlsx&amp;sheet=E0&amp;row=26&amp;col=10&amp;number=12766487.3241&amp;sourceID=2","12766487.3241")</f>
        <v>12766487.3241</v>
      </c>
      <c r="K26" s="4" t="str">
        <f>HYPERLINK("http://141.218.60.56/~jnz1568/getInfo.php?workbook=11_01.xlsx&amp;sheet=E0&amp;row=26&amp;col=11&amp;number=12768171.824&amp;sourceID=11","12768171.824")</f>
        <v>12768171.824</v>
      </c>
      <c r="L26" s="4" t="str">
        <f>HYPERLINK("http://141.218.60.56/~jnz1568/getInfo.php?workbook=11_01.xlsx&amp;sheet=E0&amp;row=26&amp;col=12&amp;number=12766498&amp;sourceID=12","12766498")</f>
        <v>12766498</v>
      </c>
      <c r="M26" s="4" t="str">
        <f>HYPERLINK("http://141.218.60.56/~jnz1568/getInfo.php?workbook=11_01.xlsx&amp;sheet=E0&amp;row=26&amp;col=13&amp;number=12768476.5876&amp;sourceID=30","12768476.5876")</f>
        <v>12768476.5876</v>
      </c>
      <c r="N26" s="4" t="str">
        <f>HYPERLINK("http://141.218.60.56/~jnz1568/getInfo.php?workbook=11_01.xlsx&amp;sheet=E0&amp;row=26&amp;col=14&amp;number=12766806.3856&amp;sourceID=30","12766806.3856")</f>
        <v>12766806.3856</v>
      </c>
      <c r="O26" s="4" t="str">
        <f>HYPERLINK("http://141.218.60.56/~jnz1568/getInfo.php?workbook=11_01.xlsx&amp;sheet=E0&amp;row=26&amp;col=15&amp;number=&amp;sourceID=13","")</f>
        <v/>
      </c>
    </row>
    <row r="27" spans="1:15">
      <c r="A27" s="3">
        <v>11</v>
      </c>
      <c r="B27" s="3">
        <v>1</v>
      </c>
      <c r="C27" s="3">
        <f/>
        <v>0</v>
      </c>
      <c r="D27" s="3" t="s">
        <v>34</v>
      </c>
      <c r="E27" s="3" t="s">
        <v>30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HYPERLINK("http://141.218.60.56/~jnz1568/getInfo.php?workbook=11_01.xlsx&amp;sheet=E0&amp;row=27&amp;col=10&amp;number=12766487.433&amp;sourceID=2","12766487.433")</f>
        <v>12766487.433</v>
      </c>
      <c r="K27" s="4" t="str">
        <f>HYPERLINK("http://141.218.60.56/~jnz1568/getInfo.php?workbook=11_01.xlsx&amp;sheet=E0&amp;row=27&amp;col=11&amp;number=12768171.824&amp;sourceID=11","12768171.824")</f>
        <v>12768171.824</v>
      </c>
      <c r="L27" s="4" t="str">
        <f>HYPERLINK("http://141.218.60.56/~jnz1568/getInfo.php?workbook=11_01.xlsx&amp;sheet=E0&amp;row=27&amp;col=12&amp;number=12766498&amp;sourceID=12","12766498")</f>
        <v>12766498</v>
      </c>
      <c r="M27" s="4" t="str">
        <f>HYPERLINK("http://141.218.60.56/~jnz1568/getInfo.php?workbook=11_01.xlsx&amp;sheet=E0&amp;row=27&amp;col=13&amp;number=12768476.5876&amp;sourceID=30","12768476.5876")</f>
        <v>12768476.5876</v>
      </c>
      <c r="N27" s="4" t="str">
        <f>HYPERLINK("http://141.218.60.56/~jnz1568/getInfo.php?workbook=11_01.xlsx&amp;sheet=E0&amp;row=27&amp;col=14&amp;number=12766806.3856&amp;sourceID=30","12766806.3856")</f>
        <v>12766806.3856</v>
      </c>
      <c r="O27" s="4" t="str">
        <f>HYPERLINK("http://141.218.60.56/~jnz1568/getInfo.php?workbook=11_01.xlsx&amp;sheet=E0&amp;row=27&amp;col=15&amp;number=&amp;sourceID=13","")</f>
        <v/>
      </c>
    </row>
    <row r="28" spans="1:15">
      <c r="A28" s="3">
        <v>11</v>
      </c>
      <c r="B28" s="3">
        <v>1</v>
      </c>
      <c r="C28" s="3">
        <f/>
        <v>0</v>
      </c>
      <c r="D28" s="3" t="s">
        <v>35</v>
      </c>
      <c r="E28" s="3" t="s">
        <v>36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HYPERLINK("http://141.218.60.56/~jnz1568/getInfo.php?workbook=11_01.xlsx&amp;sheet=E0&amp;row=28&amp;col=10&amp;number=12766521.6355&amp;sourceID=2","12766521.6355")</f>
        <v>12766521.6355</v>
      </c>
      <c r="K28" s="4" t="str">
        <f>HYPERLINK("http://141.218.60.56/~jnz1568/getInfo.php?workbook=11_01.xlsx&amp;sheet=E0&amp;row=28&amp;col=11&amp;number=12768206.057&amp;sourceID=11","12768206.057")</f>
        <v>12768206.057</v>
      </c>
      <c r="L28" s="4" t="str">
        <f>HYPERLINK("http://141.218.60.56/~jnz1568/getInfo.php?workbook=11_01.xlsx&amp;sheet=E0&amp;row=28&amp;col=12&amp;number=12766532&amp;sourceID=12","12766532")</f>
        <v>12766532</v>
      </c>
      <c r="M28" s="4" t="str">
        <f>HYPERLINK("http://141.218.60.56/~jnz1568/getInfo.php?workbook=11_01.xlsx&amp;sheet=E0&amp;row=28&amp;col=13&amp;number=12768510.6062&amp;sourceID=30","12768510.6062")</f>
        <v>12768510.6062</v>
      </c>
      <c r="N28" s="4" t="str">
        <f>HYPERLINK("http://141.218.60.56/~jnz1568/getInfo.php?workbook=11_01.xlsx&amp;sheet=E0&amp;row=28&amp;col=14&amp;number=12766840.4042&amp;sourceID=30","12766840.4042")</f>
        <v>12766840.4042</v>
      </c>
      <c r="O28" s="4" t="str">
        <f>HYPERLINK("http://141.218.60.56/~jnz1568/getInfo.php?workbook=11_01.xlsx&amp;sheet=E0&amp;row=28&amp;col=15&amp;number=&amp;sourceID=13","")</f>
        <v/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8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4.7109375" customWidth="1"/>
    <col min="9" max="9" width="11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4.7109375" customWidth="1"/>
    <col min="15" max="15" width="14.7109375" customWidth="1"/>
    <col min="16" max="16" width="11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  <col min="21" max="21" width="18.7109375" customWidth="1"/>
    <col min="22" max="22" width="14.7109375" customWidth="1"/>
    <col min="23" max="23" width="11.7109375" customWidth="1"/>
    <col min="24" max="24" width="10.7109375" customWidth="1"/>
    <col min="25" max="25" width="10.7109375" customWidth="1"/>
    <col min="26" max="26" width="15.7109375" customWidth="1"/>
    <col min="27" max="27" width="14.7109375" customWidth="1"/>
    <col min="28" max="28" width="11.7109375" customWidth="1"/>
    <col min="29" max="29" width="10.7109375" customWidth="1"/>
    <col min="30" max="30" width="10.7109375" customWidth="1"/>
    <col min="31" max="31" width="10.7109375" customWidth="1"/>
  </cols>
  <sheetData>
    <row r="1" spans="1:31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2"/>
      <c r="B2" s="2"/>
      <c r="C2" s="2"/>
      <c r="D2" s="2"/>
      <c r="E2" s="2"/>
      <c r="F2" s="2" t="s">
        <v>38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</row>
    <row r="3" spans="1:31">
      <c r="A3" s="2" t="s">
        <v>6</v>
      </c>
      <c r="B3" s="2" t="s">
        <v>7</v>
      </c>
      <c r="C3" s="2" t="s">
        <v>39</v>
      </c>
      <c r="D3" s="2" t="s">
        <v>8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2" t="s">
        <v>48</v>
      </c>
      <c r="U3" s="2" t="s">
        <v>42</v>
      </c>
      <c r="V3" s="2" t="s">
        <v>43</v>
      </c>
      <c r="W3" s="2" t="s">
        <v>44</v>
      </c>
      <c r="X3" s="2" t="s">
        <v>46</v>
      </c>
      <c r="Y3" s="2" t="s">
        <v>47</v>
      </c>
      <c r="Z3" s="2" t="s">
        <v>42</v>
      </c>
      <c r="AA3" s="2" t="s">
        <v>43</v>
      </c>
      <c r="AB3" s="2" t="s">
        <v>44</v>
      </c>
      <c r="AC3" s="2" t="s">
        <v>45</v>
      </c>
      <c r="AD3" s="2" t="s">
        <v>46</v>
      </c>
      <c r="AE3" s="2" t="s">
        <v>47</v>
      </c>
    </row>
    <row r="4" spans="1:31">
      <c r="A4" s="3">
        <v>11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HYPERLINK("http://141.218.60.56/~jnz1568/getInfo.php?workbook=11_01.xlsx&amp;sheet=A0&amp;row=4&amp;col=6&amp;number=&amp;sourceID=18","")</f>
        <v/>
      </c>
      <c r="G4" s="4" t="str">
        <f>HYPERLINK("http://141.218.60.56/~jnz1568/getInfo.php?workbook=11_01.xlsx&amp;sheet=A0&amp;row=4&amp;col=7&amp;number==SUM(H4:M4)&amp;sourceID=11","=SUM(H4:M4)")</f>
        <v>=SUM(H4:M4)</v>
      </c>
      <c r="H4" s="4" t="str">
        <f>HYPERLINK("http://141.218.60.56/~jnz1568/getInfo.php?workbook=11_01.xlsx&amp;sheet=A0&amp;row=4&amp;col=8&amp;number=9184200000000&amp;sourceID=11","9184200000000")</f>
        <v>9184200000000</v>
      </c>
      <c r="I4" s="4" t="str">
        <f>HYPERLINK("http://141.218.60.56/~jnz1568/getInfo.php?workbook=11_01.xlsx&amp;sheet=A0&amp;row=4&amp;col=9&amp;number=&amp;sourceID=11","")</f>
        <v/>
      </c>
      <c r="J4" s="4" t="str">
        <f>HYPERLINK("http://141.218.60.56/~jnz1568/getInfo.php?workbook=11_01.xlsx&amp;sheet=A0&amp;row=4&amp;col=10&amp;number=&amp;sourceID=11","")</f>
        <v/>
      </c>
      <c r="K4" s="4" t="str">
        <f>HYPERLINK("http://141.218.60.56/~jnz1568/getInfo.php?workbook=11_01.xlsx&amp;sheet=A0&amp;row=4&amp;col=11&amp;number=&amp;sourceID=11","")</f>
        <v/>
      </c>
      <c r="L4" s="4" t="str">
        <f>HYPERLINK("http://141.218.60.56/~jnz1568/getInfo.php?workbook=11_01.xlsx&amp;sheet=A0&amp;row=4&amp;col=12&amp;number=&amp;sourceID=11","")</f>
        <v/>
      </c>
      <c r="M4" s="4" t="str">
        <f>HYPERLINK("http://141.218.60.56/~jnz1568/getInfo.php?workbook=11_01.xlsx&amp;sheet=A0&amp;row=4&amp;col=13&amp;number=&amp;sourceID=11","")</f>
        <v/>
      </c>
      <c r="N4" s="4" t="str">
        <f>HYPERLINK("http://141.218.60.56/~jnz1568/getInfo.php?workbook=11_01.xlsx&amp;sheet=A0&amp;row=4&amp;col=14&amp;number=9184400000000&amp;sourceID=12","9184400000000")</f>
        <v>9184400000000</v>
      </c>
      <c r="O4" s="4" t="str">
        <f>HYPERLINK("http://141.218.60.56/~jnz1568/getInfo.php?workbook=11_01.xlsx&amp;sheet=A0&amp;row=4&amp;col=15&amp;number=9184400000000&amp;sourceID=12","9184400000000")</f>
        <v>9184400000000</v>
      </c>
      <c r="P4" s="4" t="str">
        <f>HYPERLINK("http://141.218.60.56/~jnz1568/getInfo.php?workbook=11_01.xlsx&amp;sheet=A0&amp;row=4&amp;col=16&amp;number=&amp;sourceID=12","")</f>
        <v/>
      </c>
      <c r="Q4" s="4" t="str">
        <f>HYPERLINK("http://141.218.60.56/~jnz1568/getInfo.php?workbook=11_01.xlsx&amp;sheet=A0&amp;row=4&amp;col=17&amp;number=&amp;sourceID=12","")</f>
        <v/>
      </c>
      <c r="R4" s="4" t="str">
        <f>HYPERLINK("http://141.218.60.56/~jnz1568/getInfo.php?workbook=11_01.xlsx&amp;sheet=A0&amp;row=4&amp;col=18&amp;number=&amp;sourceID=12","")</f>
        <v/>
      </c>
      <c r="S4" s="4" t="str">
        <f>HYPERLINK("http://141.218.60.56/~jnz1568/getInfo.php?workbook=11_01.xlsx&amp;sheet=A0&amp;row=4&amp;col=19&amp;number=&amp;sourceID=12","")</f>
        <v/>
      </c>
      <c r="T4" s="4" t="str">
        <f>HYPERLINK("http://141.218.60.56/~jnz1568/getInfo.php?workbook=11_01.xlsx&amp;sheet=A0&amp;row=4&amp;col=20&amp;number=&amp;sourceID=12","")</f>
        <v/>
      </c>
      <c r="U4" s="4" t="str">
        <f>HYPERLINK("http://141.218.60.56/~jnz1568/getInfo.php?workbook=11_01.xlsx&amp;sheet=A0&amp;row=4&amp;col=21&amp;number=9184000000000&amp;sourceID=30","9184000000000")</f>
        <v>9184000000000</v>
      </c>
      <c r="V4" s="4" t="str">
        <f>HYPERLINK("http://141.218.60.56/~jnz1568/getInfo.php?workbook=11_01.xlsx&amp;sheet=A0&amp;row=4&amp;col=22&amp;number=9184000000000&amp;sourceID=30","9184000000000")</f>
        <v>9184000000000</v>
      </c>
      <c r="W4" s="4" t="str">
        <f>HYPERLINK("http://141.218.60.56/~jnz1568/getInfo.php?workbook=11_01.xlsx&amp;sheet=A0&amp;row=4&amp;col=23&amp;number=&amp;sourceID=30","")</f>
        <v/>
      </c>
      <c r="X4" s="4" t="str">
        <f>HYPERLINK("http://141.218.60.56/~jnz1568/getInfo.php?workbook=11_01.xlsx&amp;sheet=A0&amp;row=4&amp;col=24&amp;number=&amp;sourceID=30","")</f>
        <v/>
      </c>
      <c r="Y4" s="4" t="str">
        <f>HYPERLINK("http://141.218.60.56/~jnz1568/getInfo.php?workbook=11_01.xlsx&amp;sheet=A0&amp;row=4&amp;col=25&amp;number=&amp;sourceID=30","")</f>
        <v/>
      </c>
      <c r="Z4" s="4" t="str">
        <f>HYPERLINK("http://141.218.60.56/~jnz1568/getInfo.php?workbook=11_01.xlsx&amp;sheet=A0&amp;row=4&amp;col=26&amp;number==SUM(AA4:AE4)&amp;sourceID=13","=SUM(AA4:AE4)")</f>
        <v>=SUM(AA4:AE4)</v>
      </c>
      <c r="AA4" s="4" t="str">
        <f>HYPERLINK("http://141.218.60.56/~jnz1568/getInfo.php?workbook=11_01.xlsx&amp;sheet=A0&amp;row=4&amp;col=27&amp;number=9160000000000&amp;sourceID=13","9160000000000")</f>
        <v>9160000000000</v>
      </c>
      <c r="AB4" s="4" t="str">
        <f>HYPERLINK("http://141.218.60.56/~jnz1568/getInfo.php?workbook=11_01.xlsx&amp;sheet=A0&amp;row=4&amp;col=28&amp;number=&amp;sourceID=13","")</f>
        <v/>
      </c>
      <c r="AC4" s="4" t="str">
        <f>HYPERLINK("http://141.218.60.56/~jnz1568/getInfo.php?workbook=11_01.xlsx&amp;sheet=A0&amp;row=4&amp;col=29&amp;number=&amp;sourceID=13","")</f>
        <v/>
      </c>
      <c r="AD4" s="4" t="str">
        <f>HYPERLINK("http://141.218.60.56/~jnz1568/getInfo.php?workbook=11_01.xlsx&amp;sheet=A0&amp;row=4&amp;col=30&amp;number=&amp;sourceID=13","")</f>
        <v/>
      </c>
      <c r="AE4" s="4" t="str">
        <f>HYPERLINK("http://141.218.60.56/~jnz1568/getInfo.php?workbook=11_01.xlsx&amp;sheet=A0&amp;row=4&amp;col=31&amp;number=&amp;sourceID=13","")</f>
        <v/>
      </c>
    </row>
    <row r="5" spans="1:31">
      <c r="A5" s="3">
        <v>11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HYPERLINK("http://141.218.60.56/~jnz1568/getInfo.php?workbook=11_01.xlsx&amp;sheet=A0&amp;row=5&amp;col=6&amp;number=14518000&amp;sourceID=18","14518000")</f>
        <v>14518000</v>
      </c>
      <c r="G5" s="4" t="str">
        <f>HYPERLINK("http://141.218.60.56/~jnz1568/getInfo.php?workbook=11_01.xlsx&amp;sheet=A0&amp;row=5&amp;col=7&amp;number=&amp;sourceID=11","")</f>
        <v/>
      </c>
      <c r="H5" s="4" t="str">
        <f>HYPERLINK("http://141.218.60.56/~jnz1568/getInfo.php?workbook=11_01.xlsx&amp;sheet=A0&amp;row=5&amp;col=8&amp;number=&amp;sourceID=11","")</f>
        <v/>
      </c>
      <c r="I5" s="4" t="str">
        <f>HYPERLINK("http://141.218.60.56/~jnz1568/getInfo.php?workbook=11_01.xlsx&amp;sheet=A0&amp;row=5&amp;col=9&amp;number=&amp;sourceID=11","")</f>
        <v/>
      </c>
      <c r="J5" s="4" t="str">
        <f>HYPERLINK("http://141.218.60.56/~jnz1568/getInfo.php?workbook=11_01.xlsx&amp;sheet=A0&amp;row=5&amp;col=10&amp;number=&amp;sourceID=11","")</f>
        <v/>
      </c>
      <c r="K5" s="4" t="str">
        <f>HYPERLINK("http://141.218.60.56/~jnz1568/getInfo.php?workbook=11_01.xlsx&amp;sheet=A0&amp;row=5&amp;col=11&amp;number=65181&amp;sourceID=11","65181")</f>
        <v>65181</v>
      </c>
      <c r="L5" s="4" t="str">
        <f>HYPERLINK("http://141.218.60.56/~jnz1568/getInfo.php?workbook=11_01.xlsx&amp;sheet=A0&amp;row=5&amp;col=12&amp;number=&amp;sourceID=11","")</f>
        <v/>
      </c>
      <c r="M5" s="4" t="str">
        <f>HYPERLINK("http://141.218.60.56/~jnz1568/getInfo.php?workbook=11_01.xlsx&amp;sheet=A0&amp;row=5&amp;col=13&amp;number=&amp;sourceID=11","")</f>
        <v/>
      </c>
      <c r="N5" s="4" t="str">
        <f>HYPERLINK("http://141.218.60.56/~jnz1568/getInfo.php?workbook=11_01.xlsx&amp;sheet=A0&amp;row=5&amp;col=14&amp;number=&amp;sourceID=12","")</f>
        <v/>
      </c>
      <c r="O5" s="4" t="str">
        <f>HYPERLINK("http://141.218.60.56/~jnz1568/getInfo.php?workbook=11_01.xlsx&amp;sheet=A0&amp;row=5&amp;col=15&amp;number=&amp;sourceID=12","")</f>
        <v/>
      </c>
      <c r="P5" s="4" t="str">
        <f>HYPERLINK("http://141.218.60.56/~jnz1568/getInfo.php?workbook=11_01.xlsx&amp;sheet=A0&amp;row=5&amp;col=16&amp;number=&amp;sourceID=12","")</f>
        <v/>
      </c>
      <c r="Q5" s="4" t="str">
        <f>HYPERLINK("http://141.218.60.56/~jnz1568/getInfo.php?workbook=11_01.xlsx&amp;sheet=A0&amp;row=5&amp;col=17&amp;number=&amp;sourceID=12","")</f>
        <v/>
      </c>
      <c r="R5" s="4" t="str">
        <f>HYPERLINK("http://141.218.60.56/~jnz1568/getInfo.php?workbook=11_01.xlsx&amp;sheet=A0&amp;row=5&amp;col=18&amp;number=65182&amp;sourceID=12","65182")</f>
        <v>65182</v>
      </c>
      <c r="S5" s="4" t="str">
        <f>HYPERLINK("http://141.218.60.56/~jnz1568/getInfo.php?workbook=11_01.xlsx&amp;sheet=A0&amp;row=5&amp;col=19&amp;number=&amp;sourceID=12","")</f>
        <v/>
      </c>
      <c r="T5" s="4" t="str">
        <f>HYPERLINK("http://141.218.60.56/~jnz1568/getInfo.php?workbook=11_01.xlsx&amp;sheet=A0&amp;row=5&amp;col=20&amp;number=&amp;sourceID=12","")</f>
        <v/>
      </c>
      <c r="U5" s="4" t="str">
        <f>HYPERLINK("http://141.218.60.56/~jnz1568/getInfo.php?workbook=11_01.xlsx&amp;sheet=A0&amp;row=5&amp;col=21&amp;number=&amp;sourceID=30","")</f>
        <v/>
      </c>
      <c r="V5" s="4" t="str">
        <f>HYPERLINK("http://141.218.60.56/~jnz1568/getInfo.php?workbook=11_01.xlsx&amp;sheet=A0&amp;row=5&amp;col=22&amp;number=&amp;sourceID=30","")</f>
        <v/>
      </c>
      <c r="W5" s="4" t="str">
        <f>HYPERLINK("http://141.218.60.56/~jnz1568/getInfo.php?workbook=11_01.xlsx&amp;sheet=A0&amp;row=5&amp;col=23&amp;number=&amp;sourceID=30","")</f>
        <v/>
      </c>
      <c r="X5" s="4" t="str">
        <f>HYPERLINK("http://141.218.60.56/~jnz1568/getInfo.php?workbook=11_01.xlsx&amp;sheet=A0&amp;row=5&amp;col=24&amp;number=65180&amp;sourceID=30","65180")</f>
        <v>65180</v>
      </c>
      <c r="Y5" s="4" t="str">
        <f>HYPERLINK("http://141.218.60.56/~jnz1568/getInfo.php?workbook=11_01.xlsx&amp;sheet=A0&amp;row=5&amp;col=25&amp;number=&amp;sourceID=30","")</f>
        <v/>
      </c>
      <c r="Z5" s="4" t="str">
        <f>HYPERLINK("http://141.218.60.56/~jnz1568/getInfo.php?workbook=11_01.xlsx&amp;sheet=A0&amp;row=5&amp;col=26&amp;number=&amp;sourceID=13","")</f>
        <v/>
      </c>
      <c r="AA5" s="4" t="str">
        <f>HYPERLINK("http://141.218.60.56/~jnz1568/getInfo.php?workbook=11_01.xlsx&amp;sheet=A0&amp;row=5&amp;col=27&amp;number=&amp;sourceID=13","")</f>
        <v/>
      </c>
      <c r="AB5" s="4" t="str">
        <f>HYPERLINK("http://141.218.60.56/~jnz1568/getInfo.php?workbook=11_01.xlsx&amp;sheet=A0&amp;row=5&amp;col=28&amp;number=&amp;sourceID=13","")</f>
        <v/>
      </c>
      <c r="AC5" s="4" t="str">
        <f>HYPERLINK("http://141.218.60.56/~jnz1568/getInfo.php?workbook=11_01.xlsx&amp;sheet=A0&amp;row=5&amp;col=29&amp;number=&amp;sourceID=13","")</f>
        <v/>
      </c>
      <c r="AD5" s="4" t="str">
        <f>HYPERLINK("http://141.218.60.56/~jnz1568/getInfo.php?workbook=11_01.xlsx&amp;sheet=A0&amp;row=5&amp;col=30&amp;number=65400&amp;sourceID=13","65400")</f>
        <v>65400</v>
      </c>
      <c r="AE5" s="4" t="str">
        <f>HYPERLINK("http://141.218.60.56/~jnz1568/getInfo.php?workbook=11_01.xlsx&amp;sheet=A0&amp;row=5&amp;col=31&amp;number=&amp;sourceID=13","")</f>
        <v/>
      </c>
    </row>
    <row r="6" spans="1:31">
      <c r="A6" s="3">
        <v>11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HYPERLINK("http://141.218.60.56/~jnz1568/getInfo.php?workbook=11_01.xlsx&amp;sheet=A0&amp;row=6&amp;col=6&amp;number=&amp;sourceID=18","")</f>
        <v/>
      </c>
      <c r="G6" s="4" t="str">
        <f>HYPERLINK("http://141.218.60.56/~jnz1568/getInfo.php?workbook=11_01.xlsx&amp;sheet=A0&amp;row=6&amp;col=7&amp;number==SUM(H6:M6)&amp;sourceID=11","=SUM(H6:M6)")</f>
        <v>=SUM(H6:M6)</v>
      </c>
      <c r="H6" s="4" t="str">
        <f>HYPERLINK("http://141.218.60.56/~jnz1568/getInfo.php?workbook=11_01.xlsx&amp;sheet=A0&amp;row=6&amp;col=8&amp;number=9163500000000&amp;sourceID=11","9163500000000")</f>
        <v>9163500000000</v>
      </c>
      <c r="I6" s="4" t="str">
        <f>HYPERLINK("http://141.218.60.56/~jnz1568/getInfo.php?workbook=11_01.xlsx&amp;sheet=A0&amp;row=6&amp;col=9&amp;number=&amp;sourceID=11","")</f>
        <v/>
      </c>
      <c r="J6" s="4" t="str">
        <f>HYPERLINK("http://141.218.60.56/~jnz1568/getInfo.php?workbook=11_01.xlsx&amp;sheet=A0&amp;row=6&amp;col=10&amp;number=&amp;sourceID=11","")</f>
        <v/>
      </c>
      <c r="K6" s="4" t="str">
        <f>HYPERLINK("http://141.218.60.56/~jnz1568/getInfo.php?workbook=11_01.xlsx&amp;sheet=A0&amp;row=6&amp;col=11&amp;number=&amp;sourceID=11","")</f>
        <v/>
      </c>
      <c r="L6" s="4" t="str">
        <f>HYPERLINK("http://141.218.60.56/~jnz1568/getInfo.php?workbook=11_01.xlsx&amp;sheet=A0&amp;row=6&amp;col=12&amp;number=10065000&amp;sourceID=11","10065000")</f>
        <v>10065000</v>
      </c>
      <c r="M6" s="4" t="str">
        <f>HYPERLINK("http://141.218.60.56/~jnz1568/getInfo.php?workbook=11_01.xlsx&amp;sheet=A0&amp;row=6&amp;col=13&amp;number=&amp;sourceID=11","")</f>
        <v/>
      </c>
      <c r="N6" s="4" t="str">
        <f>HYPERLINK("http://141.218.60.56/~jnz1568/getInfo.php?workbook=11_01.xlsx&amp;sheet=A0&amp;row=6&amp;col=14&amp;number=9163800000000&amp;sourceID=12","9163800000000")</f>
        <v>9163800000000</v>
      </c>
      <c r="O6" s="4" t="str">
        <f>HYPERLINK("http://141.218.60.56/~jnz1568/getInfo.php?workbook=11_01.xlsx&amp;sheet=A0&amp;row=6&amp;col=15&amp;number=9163800000000&amp;sourceID=12","9163800000000")</f>
        <v>9163800000000</v>
      </c>
      <c r="P6" s="4" t="str">
        <f>HYPERLINK("http://141.218.60.56/~jnz1568/getInfo.php?workbook=11_01.xlsx&amp;sheet=A0&amp;row=6&amp;col=16&amp;number=&amp;sourceID=12","")</f>
        <v/>
      </c>
      <c r="Q6" s="4" t="str">
        <f>HYPERLINK("http://141.218.60.56/~jnz1568/getInfo.php?workbook=11_01.xlsx&amp;sheet=A0&amp;row=6&amp;col=17&amp;number=&amp;sourceID=12","")</f>
        <v/>
      </c>
      <c r="R6" s="4" t="str">
        <f>HYPERLINK("http://141.218.60.56/~jnz1568/getInfo.php?workbook=11_01.xlsx&amp;sheet=A0&amp;row=6&amp;col=18&amp;number=&amp;sourceID=12","")</f>
        <v/>
      </c>
      <c r="S6" s="4" t="str">
        <f>HYPERLINK("http://141.218.60.56/~jnz1568/getInfo.php?workbook=11_01.xlsx&amp;sheet=A0&amp;row=6&amp;col=19&amp;number=10065000&amp;sourceID=12","10065000")</f>
        <v>10065000</v>
      </c>
      <c r="T6" s="4" t="str">
        <f>HYPERLINK("http://141.218.60.56/~jnz1568/getInfo.php?workbook=11_01.xlsx&amp;sheet=A0&amp;row=6&amp;col=20&amp;number=&amp;sourceID=12","")</f>
        <v/>
      </c>
      <c r="U6" s="4" t="str">
        <f>HYPERLINK("http://141.218.60.56/~jnz1568/getInfo.php?workbook=11_01.xlsx&amp;sheet=A0&amp;row=6&amp;col=21&amp;number=9164010060000&amp;sourceID=30","9164010060000")</f>
        <v>9164010060000</v>
      </c>
      <c r="V6" s="4" t="str">
        <f>HYPERLINK("http://141.218.60.56/~jnz1568/getInfo.php?workbook=11_01.xlsx&amp;sheet=A0&amp;row=6&amp;col=22&amp;number=9164000000000&amp;sourceID=30","9164000000000")</f>
        <v>9164000000000</v>
      </c>
      <c r="W6" s="4" t="str">
        <f>HYPERLINK("http://141.218.60.56/~jnz1568/getInfo.php?workbook=11_01.xlsx&amp;sheet=A0&amp;row=6&amp;col=23&amp;number=&amp;sourceID=30","")</f>
        <v/>
      </c>
      <c r="X6" s="4" t="str">
        <f>HYPERLINK("http://141.218.60.56/~jnz1568/getInfo.php?workbook=11_01.xlsx&amp;sheet=A0&amp;row=6&amp;col=24&amp;number=&amp;sourceID=30","")</f>
        <v/>
      </c>
      <c r="Y6" s="4" t="str">
        <f>HYPERLINK("http://141.218.60.56/~jnz1568/getInfo.php?workbook=11_01.xlsx&amp;sheet=A0&amp;row=6&amp;col=25&amp;number=10060000&amp;sourceID=30","10060000")</f>
        <v>10060000</v>
      </c>
      <c r="Z6" s="4" t="str">
        <f>HYPERLINK("http://141.218.60.56/~jnz1568/getInfo.php?workbook=11_01.xlsx&amp;sheet=A0&amp;row=6&amp;col=26&amp;number==SUM(AA6:AE6)&amp;sourceID=13","=SUM(AA6:AE6)")</f>
        <v>=SUM(AA6:AE6)</v>
      </c>
      <c r="AA6" s="4" t="str">
        <f>HYPERLINK("http://141.218.60.56/~jnz1568/getInfo.php?workbook=11_01.xlsx&amp;sheet=A0&amp;row=6&amp;col=27&amp;number=9160000000000&amp;sourceID=13","9160000000000")</f>
        <v>9160000000000</v>
      </c>
      <c r="AB6" s="4" t="str">
        <f>HYPERLINK("http://141.218.60.56/~jnz1568/getInfo.php?workbook=11_01.xlsx&amp;sheet=A0&amp;row=6&amp;col=28&amp;number=&amp;sourceID=13","")</f>
        <v/>
      </c>
      <c r="AC6" s="4" t="str">
        <f>HYPERLINK("http://141.218.60.56/~jnz1568/getInfo.php?workbook=11_01.xlsx&amp;sheet=A0&amp;row=6&amp;col=29&amp;number=&amp;sourceID=13","")</f>
        <v/>
      </c>
      <c r="AD6" s="4" t="str">
        <f>HYPERLINK("http://141.218.60.56/~jnz1568/getInfo.php?workbook=11_01.xlsx&amp;sheet=A0&amp;row=6&amp;col=30&amp;number=&amp;sourceID=13","")</f>
        <v/>
      </c>
      <c r="AE6" s="4" t="str">
        <f>HYPERLINK("http://141.218.60.56/~jnz1568/getInfo.php?workbook=11_01.xlsx&amp;sheet=A0&amp;row=6&amp;col=31&amp;number=&amp;sourceID=13","")</f>
        <v/>
      </c>
    </row>
    <row r="7" spans="1:31">
      <c r="A7" s="3">
        <v>11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HYPERLINK("http://141.218.60.56/~jnz1568/getInfo.php?workbook=11_01.xlsx&amp;sheet=A0&amp;row=7&amp;col=6&amp;number=&amp;sourceID=18","")</f>
        <v/>
      </c>
      <c r="G7" s="4" t="str">
        <f>HYPERLINK("http://141.218.60.56/~jnz1568/getInfo.php?workbook=11_01.xlsx&amp;sheet=A0&amp;row=7&amp;col=7&amp;number==&amp;sourceID=11","=")</f>
        <v>=</v>
      </c>
      <c r="H7" s="4" t="str">
        <f>HYPERLINK("http://141.218.60.56/~jnz1568/getInfo.php?workbook=11_01.xlsx&amp;sheet=A0&amp;row=7&amp;col=8&amp;number=&amp;sourceID=11","")</f>
        <v/>
      </c>
      <c r="I7" s="4" t="str">
        <f>HYPERLINK("http://141.218.60.56/~jnz1568/getInfo.php?workbook=11_01.xlsx&amp;sheet=A0&amp;row=7&amp;col=9&amp;number=6.1008e-06&amp;sourceID=11","6.1008e-06")</f>
        <v>6.1008e-06</v>
      </c>
      <c r="J7" s="4" t="str">
        <f>HYPERLINK("http://141.218.60.56/~jnz1568/getInfo.php?workbook=11_01.xlsx&amp;sheet=A0&amp;row=7&amp;col=10&amp;number=&amp;sourceID=11","")</f>
        <v/>
      </c>
      <c r="K7" s="4" t="str">
        <f>HYPERLINK("http://141.218.60.56/~jnz1568/getInfo.php?workbook=11_01.xlsx&amp;sheet=A0&amp;row=7&amp;col=11&amp;number=1.3903&amp;sourceID=11","1.3903")</f>
        <v>1.3903</v>
      </c>
      <c r="L7" s="4" t="str">
        <f>HYPERLINK("http://141.218.60.56/~jnz1568/getInfo.php?workbook=11_01.xlsx&amp;sheet=A0&amp;row=7&amp;col=12&amp;number=&amp;sourceID=11","")</f>
        <v/>
      </c>
      <c r="M7" s="4" t="str">
        <f>HYPERLINK("http://141.218.60.56/~jnz1568/getInfo.php?workbook=11_01.xlsx&amp;sheet=A0&amp;row=7&amp;col=13&amp;number=&amp;sourceID=11","")</f>
        <v/>
      </c>
      <c r="N7" s="4" t="str">
        <f>HYPERLINK("http://141.218.60.56/~jnz1568/getInfo.php?workbook=11_01.xlsx&amp;sheet=A0&amp;row=7&amp;col=14&amp;number=1.3904&amp;sourceID=12","1.3904")</f>
        <v>1.3904</v>
      </c>
      <c r="O7" s="4" t="str">
        <f>HYPERLINK("http://141.218.60.56/~jnz1568/getInfo.php?workbook=11_01.xlsx&amp;sheet=A0&amp;row=7&amp;col=15&amp;number=&amp;sourceID=12","")</f>
        <v/>
      </c>
      <c r="P7" s="4" t="str">
        <f>HYPERLINK("http://141.218.60.56/~jnz1568/getInfo.php?workbook=11_01.xlsx&amp;sheet=A0&amp;row=7&amp;col=16&amp;number=6.1009e-06&amp;sourceID=12","6.1009e-06")</f>
        <v>6.1009e-06</v>
      </c>
      <c r="Q7" s="4" t="str">
        <f>HYPERLINK("http://141.218.60.56/~jnz1568/getInfo.php?workbook=11_01.xlsx&amp;sheet=A0&amp;row=7&amp;col=17&amp;number=&amp;sourceID=12","")</f>
        <v/>
      </c>
      <c r="R7" s="4" t="str">
        <f>HYPERLINK("http://141.218.60.56/~jnz1568/getInfo.php?workbook=11_01.xlsx&amp;sheet=A0&amp;row=7&amp;col=18&amp;number=1.3904&amp;sourceID=12","1.3904")</f>
        <v>1.3904</v>
      </c>
      <c r="S7" s="4" t="str">
        <f>HYPERLINK("http://141.218.60.56/~jnz1568/getInfo.php?workbook=11_01.xlsx&amp;sheet=A0&amp;row=7&amp;col=19&amp;number=&amp;sourceID=12","")</f>
        <v/>
      </c>
      <c r="T7" s="4" t="str">
        <f>HYPERLINK("http://141.218.60.56/~jnz1568/getInfo.php?workbook=11_01.xlsx&amp;sheet=A0&amp;row=7&amp;col=20&amp;number=&amp;sourceID=12","")</f>
        <v/>
      </c>
      <c r="U7" s="4" t="str">
        <f>HYPERLINK("http://141.218.60.56/~jnz1568/getInfo.php?workbook=11_01.xlsx&amp;sheet=A0&amp;row=7&amp;col=21&amp;number=1.390006101&amp;sourceID=30","1.390006101")</f>
        <v>1.390006101</v>
      </c>
      <c r="V7" s="4" t="str">
        <f>HYPERLINK("http://141.218.60.56/~jnz1568/getInfo.php?workbook=11_01.xlsx&amp;sheet=A0&amp;row=7&amp;col=22&amp;number=&amp;sourceID=30","")</f>
        <v/>
      </c>
      <c r="W7" s="4" t="str">
        <f>HYPERLINK("http://141.218.60.56/~jnz1568/getInfo.php?workbook=11_01.xlsx&amp;sheet=A0&amp;row=7&amp;col=23&amp;number=6.101e-06&amp;sourceID=30","6.101e-06")</f>
        <v>6.101e-06</v>
      </c>
      <c r="X7" s="4" t="str">
        <f>HYPERLINK("http://141.218.60.56/~jnz1568/getInfo.php?workbook=11_01.xlsx&amp;sheet=A0&amp;row=7&amp;col=24&amp;number=1.39&amp;sourceID=30","1.39")</f>
        <v>1.39</v>
      </c>
      <c r="Y7" s="4" t="str">
        <f>HYPERLINK("http://141.218.60.56/~jnz1568/getInfo.php?workbook=11_01.xlsx&amp;sheet=A0&amp;row=7&amp;col=25&amp;number=&amp;sourceID=30","")</f>
        <v/>
      </c>
      <c r="Z7" s="4" t="str">
        <f>HYPERLINK("http://141.218.60.56/~jnz1568/getInfo.php?workbook=11_01.xlsx&amp;sheet=A0&amp;row=7&amp;col=26&amp;number==&amp;sourceID=13","=")</f>
        <v>=</v>
      </c>
      <c r="AA7" s="4" t="str">
        <f>HYPERLINK("http://141.218.60.56/~jnz1568/getInfo.php?workbook=11_01.xlsx&amp;sheet=A0&amp;row=7&amp;col=27&amp;number=&amp;sourceID=13","")</f>
        <v/>
      </c>
      <c r="AB7" s="4" t="str">
        <f>HYPERLINK("http://141.218.60.56/~jnz1568/getInfo.php?workbook=11_01.xlsx&amp;sheet=A0&amp;row=7&amp;col=28&amp;number=6.04e-06&amp;sourceID=13","6.04e-06")</f>
        <v>6.04e-06</v>
      </c>
      <c r="AC7" s="4" t="str">
        <f>HYPERLINK("http://141.218.60.56/~jnz1568/getInfo.php?workbook=11_01.xlsx&amp;sheet=A0&amp;row=7&amp;col=29&amp;number=&amp;sourceID=13","")</f>
        <v/>
      </c>
      <c r="AD7" s="4" t="str">
        <f>HYPERLINK("http://141.218.60.56/~jnz1568/getInfo.php?workbook=11_01.xlsx&amp;sheet=A0&amp;row=7&amp;col=30&amp;number=1.38&amp;sourceID=13","1.38")</f>
        <v>1.38</v>
      </c>
      <c r="AE7" s="4" t="str">
        <f>HYPERLINK("http://141.218.60.56/~jnz1568/getInfo.php?workbook=11_01.xlsx&amp;sheet=A0&amp;row=7&amp;col=31&amp;number=&amp;sourceID=13","")</f>
        <v/>
      </c>
    </row>
    <row r="8" spans="1:31">
      <c r="A8" s="3">
        <v>11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HYPERLINK("http://141.218.60.56/~jnz1568/getInfo.php?workbook=11_01.xlsx&amp;sheet=A0&amp;row=8&amp;col=6&amp;number=&amp;sourceID=18","")</f>
        <v/>
      </c>
      <c r="G8" s="4" t="str">
        <f>HYPERLINK("http://141.218.60.56/~jnz1568/getInfo.php?workbook=11_01.xlsx&amp;sheet=A0&amp;row=8&amp;col=7&amp;number==&amp;sourceID=11","=")</f>
        <v>=</v>
      </c>
      <c r="H8" s="4" t="str">
        <f>HYPERLINK("http://141.218.60.56/~jnz1568/getInfo.php?workbook=11_01.xlsx&amp;sheet=A0&amp;row=8&amp;col=8&amp;number=23273&amp;sourceID=11","23273")</f>
        <v>23273</v>
      </c>
      <c r="I8" s="4" t="str">
        <f>HYPERLINK("http://141.218.60.56/~jnz1568/getInfo.php?workbook=11_01.xlsx&amp;sheet=A0&amp;row=8&amp;col=9&amp;number=&amp;sourceID=11","")</f>
        <v/>
      </c>
      <c r="J8" s="4" t="str">
        <f>HYPERLINK("http://141.218.60.56/~jnz1568/getInfo.php?workbook=11_01.xlsx&amp;sheet=A0&amp;row=8&amp;col=10&amp;number=&amp;sourceID=11","")</f>
        <v/>
      </c>
      <c r="K8" s="4" t="str">
        <f>HYPERLINK("http://141.218.60.56/~jnz1568/getInfo.php?workbook=11_01.xlsx&amp;sheet=A0&amp;row=8&amp;col=11&amp;number=&amp;sourceID=11","")</f>
        <v/>
      </c>
      <c r="L8" s="4" t="str">
        <f>HYPERLINK("http://141.218.60.56/~jnz1568/getInfo.php?workbook=11_01.xlsx&amp;sheet=A0&amp;row=8&amp;col=12&amp;number=7.4024e-09&amp;sourceID=11","7.4024e-09")</f>
        <v>7.4024e-09</v>
      </c>
      <c r="M8" s="4" t="str">
        <f>HYPERLINK("http://141.218.60.56/~jnz1568/getInfo.php?workbook=11_01.xlsx&amp;sheet=A0&amp;row=8&amp;col=13&amp;number=&amp;sourceID=11","")</f>
        <v/>
      </c>
      <c r="N8" s="4" t="str">
        <f>HYPERLINK("http://141.218.60.56/~jnz1568/getInfo.php?workbook=11_01.xlsx&amp;sheet=A0&amp;row=8&amp;col=14&amp;number=23273&amp;sourceID=12","23273")</f>
        <v>23273</v>
      </c>
      <c r="O8" s="4" t="str">
        <f>HYPERLINK("http://141.218.60.56/~jnz1568/getInfo.php?workbook=11_01.xlsx&amp;sheet=A0&amp;row=8&amp;col=15&amp;number=23273&amp;sourceID=12","23273")</f>
        <v>23273</v>
      </c>
      <c r="P8" s="4" t="str">
        <f>HYPERLINK("http://141.218.60.56/~jnz1568/getInfo.php?workbook=11_01.xlsx&amp;sheet=A0&amp;row=8&amp;col=16&amp;number=&amp;sourceID=12","")</f>
        <v/>
      </c>
      <c r="Q8" s="4" t="str">
        <f>HYPERLINK("http://141.218.60.56/~jnz1568/getInfo.php?workbook=11_01.xlsx&amp;sheet=A0&amp;row=8&amp;col=17&amp;number=&amp;sourceID=12","")</f>
        <v/>
      </c>
      <c r="R8" s="4" t="str">
        <f>HYPERLINK("http://141.218.60.56/~jnz1568/getInfo.php?workbook=11_01.xlsx&amp;sheet=A0&amp;row=8&amp;col=18&amp;number=&amp;sourceID=12","")</f>
        <v/>
      </c>
      <c r="S8" s="4" t="str">
        <f>HYPERLINK("http://141.218.60.56/~jnz1568/getInfo.php?workbook=11_01.xlsx&amp;sheet=A0&amp;row=8&amp;col=19&amp;number=7.4026e-09&amp;sourceID=12","7.4026e-09")</f>
        <v>7.4026e-09</v>
      </c>
      <c r="T8" s="4" t="str">
        <f>HYPERLINK("http://141.218.60.56/~jnz1568/getInfo.php?workbook=11_01.xlsx&amp;sheet=A0&amp;row=8&amp;col=20&amp;number=&amp;sourceID=12","")</f>
        <v/>
      </c>
      <c r="U8" s="4" t="str">
        <f>HYPERLINK("http://141.218.60.56/~jnz1568/getInfo.php?workbook=11_01.xlsx&amp;sheet=A0&amp;row=8&amp;col=21&amp;number=23270.0&amp;sourceID=30","23270.0")</f>
        <v>23270.0</v>
      </c>
      <c r="V8" s="4" t="str">
        <f>HYPERLINK("http://141.218.60.56/~jnz1568/getInfo.php?workbook=11_01.xlsx&amp;sheet=A0&amp;row=8&amp;col=22&amp;number=23270&amp;sourceID=30","23270")</f>
        <v>23270</v>
      </c>
      <c r="W8" s="4" t="str">
        <f>HYPERLINK("http://141.218.60.56/~jnz1568/getInfo.php?workbook=11_01.xlsx&amp;sheet=A0&amp;row=8&amp;col=23&amp;number=&amp;sourceID=30","")</f>
        <v/>
      </c>
      <c r="X8" s="4" t="str">
        <f>HYPERLINK("http://141.218.60.56/~jnz1568/getInfo.php?workbook=11_01.xlsx&amp;sheet=A0&amp;row=8&amp;col=24&amp;number=&amp;sourceID=30","")</f>
        <v/>
      </c>
      <c r="Y8" s="4" t="str">
        <f>HYPERLINK("http://141.218.60.56/~jnz1568/getInfo.php?workbook=11_01.xlsx&amp;sheet=A0&amp;row=8&amp;col=25&amp;number=7.403e-09&amp;sourceID=30","7.403e-09")</f>
        <v>7.403e-09</v>
      </c>
      <c r="Z8" s="4" t="str">
        <f>HYPERLINK("http://141.218.60.56/~jnz1568/getInfo.php?workbook=11_01.xlsx&amp;sheet=A0&amp;row=8&amp;col=26&amp;number==&amp;sourceID=13","=")</f>
        <v>=</v>
      </c>
      <c r="AA8" s="4" t="str">
        <f>HYPERLINK("http://141.218.60.56/~jnz1568/getInfo.php?workbook=11_01.xlsx&amp;sheet=A0&amp;row=8&amp;col=27&amp;number=22900&amp;sourceID=13","22900")</f>
        <v>22900</v>
      </c>
      <c r="AB8" s="4" t="str">
        <f>HYPERLINK("http://141.218.60.56/~jnz1568/getInfo.php?workbook=11_01.xlsx&amp;sheet=A0&amp;row=8&amp;col=28&amp;number=&amp;sourceID=13","")</f>
        <v/>
      </c>
      <c r="AC8" s="4" t="str">
        <f>HYPERLINK("http://141.218.60.56/~jnz1568/getInfo.php?workbook=11_01.xlsx&amp;sheet=A0&amp;row=8&amp;col=29&amp;number=&amp;sourceID=13","")</f>
        <v/>
      </c>
      <c r="AD8" s="4" t="str">
        <f>HYPERLINK("http://141.218.60.56/~jnz1568/getInfo.php?workbook=11_01.xlsx&amp;sheet=A0&amp;row=8&amp;col=30&amp;number=&amp;sourceID=13","")</f>
        <v/>
      </c>
      <c r="AE8" s="4" t="str">
        <f>HYPERLINK("http://141.218.60.56/~jnz1568/getInfo.php?workbook=11_01.xlsx&amp;sheet=A0&amp;row=8&amp;col=31&amp;number=&amp;sourceID=13","")</f>
        <v/>
      </c>
    </row>
    <row r="9" spans="1:31">
      <c r="A9" s="3">
        <v>11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HYPERLINK("http://141.218.60.56/~jnz1568/getInfo.php?workbook=11_01.xlsx&amp;sheet=A0&amp;row=9&amp;col=6&amp;number=&amp;sourceID=18","")</f>
        <v/>
      </c>
      <c r="G9" s="4" t="str">
        <f>HYPERLINK("http://141.218.60.56/~jnz1568/getInfo.php?workbook=11_01.xlsx&amp;sheet=A0&amp;row=9&amp;col=7&amp;number==&amp;sourceID=11","=")</f>
        <v>=</v>
      </c>
      <c r="H9" s="4" t="str">
        <f>HYPERLINK("http://141.218.60.56/~jnz1568/getInfo.php?workbook=11_01.xlsx&amp;sheet=A0&amp;row=9&amp;col=8&amp;number=2447500000000&amp;sourceID=11","2447500000000")</f>
        <v>2447500000000</v>
      </c>
      <c r="I9" s="4" t="str">
        <f>HYPERLINK("http://141.218.60.56/~jnz1568/getInfo.php?workbook=11_01.xlsx&amp;sheet=A0&amp;row=9&amp;col=9&amp;number=&amp;sourceID=11","")</f>
        <v/>
      </c>
      <c r="J9" s="4" t="str">
        <f>HYPERLINK("http://141.218.60.56/~jnz1568/getInfo.php?workbook=11_01.xlsx&amp;sheet=A0&amp;row=9&amp;col=10&amp;number=&amp;sourceID=11","")</f>
        <v/>
      </c>
      <c r="K9" s="4" t="str">
        <f>HYPERLINK("http://141.218.60.56/~jnz1568/getInfo.php?workbook=11_01.xlsx&amp;sheet=A0&amp;row=9&amp;col=11&amp;number=&amp;sourceID=11","")</f>
        <v/>
      </c>
      <c r="L9" s="4" t="str">
        <f>HYPERLINK("http://141.218.60.56/~jnz1568/getInfo.php?workbook=11_01.xlsx&amp;sheet=A0&amp;row=9&amp;col=12&amp;number=&amp;sourceID=11","")</f>
        <v/>
      </c>
      <c r="M9" s="4" t="str">
        <f>HYPERLINK("http://141.218.60.56/~jnz1568/getInfo.php?workbook=11_01.xlsx&amp;sheet=A0&amp;row=9&amp;col=13&amp;number=&amp;sourceID=11","")</f>
        <v/>
      </c>
      <c r="N9" s="4" t="str">
        <f>HYPERLINK("http://141.218.60.56/~jnz1568/getInfo.php?workbook=11_01.xlsx&amp;sheet=A0&amp;row=9&amp;col=14&amp;number=2447600000000&amp;sourceID=12","2447600000000")</f>
        <v>2447600000000</v>
      </c>
      <c r="O9" s="4" t="str">
        <f>HYPERLINK("http://141.218.60.56/~jnz1568/getInfo.php?workbook=11_01.xlsx&amp;sheet=A0&amp;row=9&amp;col=15&amp;number=2447600000000&amp;sourceID=12","2447600000000")</f>
        <v>2447600000000</v>
      </c>
      <c r="P9" s="4" t="str">
        <f>HYPERLINK("http://141.218.60.56/~jnz1568/getInfo.php?workbook=11_01.xlsx&amp;sheet=A0&amp;row=9&amp;col=16&amp;number=&amp;sourceID=12","")</f>
        <v/>
      </c>
      <c r="Q9" s="4" t="str">
        <f>HYPERLINK("http://141.218.60.56/~jnz1568/getInfo.php?workbook=11_01.xlsx&amp;sheet=A0&amp;row=9&amp;col=17&amp;number=&amp;sourceID=12","")</f>
        <v/>
      </c>
      <c r="R9" s="4" t="str">
        <f>HYPERLINK("http://141.218.60.56/~jnz1568/getInfo.php?workbook=11_01.xlsx&amp;sheet=A0&amp;row=9&amp;col=18&amp;number=&amp;sourceID=12","")</f>
        <v/>
      </c>
      <c r="S9" s="4" t="str">
        <f>HYPERLINK("http://141.218.60.56/~jnz1568/getInfo.php?workbook=11_01.xlsx&amp;sheet=A0&amp;row=9&amp;col=19&amp;number=&amp;sourceID=12","")</f>
        <v/>
      </c>
      <c r="T9" s="4" t="str">
        <f>HYPERLINK("http://141.218.60.56/~jnz1568/getInfo.php?workbook=11_01.xlsx&amp;sheet=A0&amp;row=9&amp;col=20&amp;number=&amp;sourceID=12","")</f>
        <v/>
      </c>
      <c r="U9" s="4" t="str">
        <f>HYPERLINK("http://141.218.60.56/~jnz1568/getInfo.php?workbook=11_01.xlsx&amp;sheet=A0&amp;row=9&amp;col=21&amp;number=2448000000000&amp;sourceID=30","2448000000000")</f>
        <v>2448000000000</v>
      </c>
      <c r="V9" s="4" t="str">
        <f>HYPERLINK("http://141.218.60.56/~jnz1568/getInfo.php?workbook=11_01.xlsx&amp;sheet=A0&amp;row=9&amp;col=22&amp;number=2448000000000&amp;sourceID=30","2448000000000")</f>
        <v>2448000000000</v>
      </c>
      <c r="W9" s="4" t="str">
        <f>HYPERLINK("http://141.218.60.56/~jnz1568/getInfo.php?workbook=11_01.xlsx&amp;sheet=A0&amp;row=9&amp;col=23&amp;number=&amp;sourceID=30","")</f>
        <v/>
      </c>
      <c r="X9" s="4" t="str">
        <f>HYPERLINK("http://141.218.60.56/~jnz1568/getInfo.php?workbook=11_01.xlsx&amp;sheet=A0&amp;row=9&amp;col=24&amp;number=&amp;sourceID=30","")</f>
        <v/>
      </c>
      <c r="Y9" s="4" t="str">
        <f>HYPERLINK("http://141.218.60.56/~jnz1568/getInfo.php?workbook=11_01.xlsx&amp;sheet=A0&amp;row=9&amp;col=25&amp;number=&amp;sourceID=30","")</f>
        <v/>
      </c>
      <c r="Z9" s="4" t="str">
        <f>HYPERLINK("http://141.218.60.56/~jnz1568/getInfo.php?workbook=11_01.xlsx&amp;sheet=A0&amp;row=9&amp;col=26&amp;number==&amp;sourceID=13","=")</f>
        <v>=</v>
      </c>
      <c r="AA9" s="4" t="str">
        <f>HYPERLINK("http://141.218.60.56/~jnz1568/getInfo.php?workbook=11_01.xlsx&amp;sheet=A0&amp;row=9&amp;col=27&amp;number=2420000000000&amp;sourceID=13","2420000000000")</f>
        <v>2420000000000</v>
      </c>
      <c r="AB9" s="4" t="str">
        <f>HYPERLINK("http://141.218.60.56/~jnz1568/getInfo.php?workbook=11_01.xlsx&amp;sheet=A0&amp;row=9&amp;col=28&amp;number=&amp;sourceID=13","")</f>
        <v/>
      </c>
      <c r="AC9" s="4" t="str">
        <f>HYPERLINK("http://141.218.60.56/~jnz1568/getInfo.php?workbook=11_01.xlsx&amp;sheet=A0&amp;row=9&amp;col=29&amp;number=&amp;sourceID=13","")</f>
        <v/>
      </c>
      <c r="AD9" s="4" t="str">
        <f>HYPERLINK("http://141.218.60.56/~jnz1568/getInfo.php?workbook=11_01.xlsx&amp;sheet=A0&amp;row=9&amp;col=30&amp;number=&amp;sourceID=13","")</f>
        <v/>
      </c>
      <c r="AE9" s="4" t="str">
        <f>HYPERLINK("http://141.218.60.56/~jnz1568/getInfo.php?workbook=11_01.xlsx&amp;sheet=A0&amp;row=9&amp;col=31&amp;number=&amp;sourceID=13","")</f>
        <v/>
      </c>
    </row>
    <row r="10" spans="1:31">
      <c r="A10" s="3">
        <v>11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HYPERLINK("http://141.218.60.56/~jnz1568/getInfo.php?workbook=11_01.xlsx&amp;sheet=A0&amp;row=10&amp;col=6&amp;number=&amp;sourceID=18","")</f>
        <v/>
      </c>
      <c r="G10" s="4" t="str">
        <f>HYPERLINK("http://141.218.60.56/~jnz1568/getInfo.php?workbook=11_01.xlsx&amp;sheet=A0&amp;row=10&amp;col=7&amp;number==&amp;sourceID=11","=")</f>
        <v>=</v>
      </c>
      <c r="H10" s="4" t="str">
        <f>HYPERLINK("http://141.218.60.56/~jnz1568/getInfo.php?workbook=11_01.xlsx&amp;sheet=A0&amp;row=10&amp;col=8&amp;number=&amp;sourceID=11","")</f>
        <v/>
      </c>
      <c r="I10" s="4" t="str">
        <f>HYPERLINK("http://141.218.60.56/~jnz1568/getInfo.php?workbook=11_01.xlsx&amp;sheet=A0&amp;row=10&amp;col=9&amp;number=&amp;sourceID=11","")</f>
        <v/>
      </c>
      <c r="J10" s="4" t="str">
        <f>HYPERLINK("http://141.218.60.56/~jnz1568/getInfo.php?workbook=11_01.xlsx&amp;sheet=A0&amp;row=10&amp;col=10&amp;number=&amp;sourceID=11","")</f>
        <v/>
      </c>
      <c r="K10" s="4" t="str">
        <f>HYPERLINK("http://141.218.60.56/~jnz1568/getInfo.php?workbook=11_01.xlsx&amp;sheet=A0&amp;row=10&amp;col=11&amp;number=12.86&amp;sourceID=11","12.86")</f>
        <v>12.86</v>
      </c>
      <c r="L10" s="4" t="str">
        <f>HYPERLINK("http://141.218.60.56/~jnz1568/getInfo.php?workbook=11_01.xlsx&amp;sheet=A0&amp;row=10&amp;col=12&amp;number=&amp;sourceID=11","")</f>
        <v/>
      </c>
      <c r="M10" s="4" t="str">
        <f>HYPERLINK("http://141.218.60.56/~jnz1568/getInfo.php?workbook=11_01.xlsx&amp;sheet=A0&amp;row=10&amp;col=13&amp;number=&amp;sourceID=11","")</f>
        <v/>
      </c>
      <c r="N10" s="4" t="str">
        <f>HYPERLINK("http://141.218.60.56/~jnz1568/getInfo.php?workbook=11_01.xlsx&amp;sheet=A0&amp;row=10&amp;col=14&amp;number=12.86&amp;sourceID=12","12.86")</f>
        <v>12.86</v>
      </c>
      <c r="O10" s="4" t="str">
        <f>HYPERLINK("http://141.218.60.56/~jnz1568/getInfo.php?workbook=11_01.xlsx&amp;sheet=A0&amp;row=10&amp;col=15&amp;number=&amp;sourceID=12","")</f>
        <v/>
      </c>
      <c r="P10" s="4" t="str">
        <f>HYPERLINK("http://141.218.60.56/~jnz1568/getInfo.php?workbook=11_01.xlsx&amp;sheet=A0&amp;row=10&amp;col=16&amp;number=&amp;sourceID=12","")</f>
        <v/>
      </c>
      <c r="Q10" s="4" t="str">
        <f>HYPERLINK("http://141.218.60.56/~jnz1568/getInfo.php?workbook=11_01.xlsx&amp;sheet=A0&amp;row=10&amp;col=17&amp;number=&amp;sourceID=12","")</f>
        <v/>
      </c>
      <c r="R10" s="4" t="str">
        <f>HYPERLINK("http://141.218.60.56/~jnz1568/getInfo.php?workbook=11_01.xlsx&amp;sheet=A0&amp;row=10&amp;col=18&amp;number=12.86&amp;sourceID=12","12.86")</f>
        <v>12.86</v>
      </c>
      <c r="S10" s="4" t="str">
        <f>HYPERLINK("http://141.218.60.56/~jnz1568/getInfo.php?workbook=11_01.xlsx&amp;sheet=A0&amp;row=10&amp;col=19&amp;number=&amp;sourceID=12","")</f>
        <v/>
      </c>
      <c r="T10" s="4" t="str">
        <f>HYPERLINK("http://141.218.60.56/~jnz1568/getInfo.php?workbook=11_01.xlsx&amp;sheet=A0&amp;row=10&amp;col=20&amp;number=&amp;sourceID=12","")</f>
        <v/>
      </c>
      <c r="U10" s="4" t="str">
        <f>HYPERLINK("http://141.218.60.56/~jnz1568/getInfo.php?workbook=11_01.xlsx&amp;sheet=A0&amp;row=10&amp;col=21&amp;number=12.86&amp;sourceID=30","12.86")</f>
        <v>12.86</v>
      </c>
      <c r="V10" s="4" t="str">
        <f>HYPERLINK("http://141.218.60.56/~jnz1568/getInfo.php?workbook=11_01.xlsx&amp;sheet=A0&amp;row=10&amp;col=22&amp;number=&amp;sourceID=30","")</f>
        <v/>
      </c>
      <c r="W10" s="4" t="str">
        <f>HYPERLINK("http://141.218.60.56/~jnz1568/getInfo.php?workbook=11_01.xlsx&amp;sheet=A0&amp;row=10&amp;col=23&amp;number=&amp;sourceID=30","")</f>
        <v/>
      </c>
      <c r="X10" s="4" t="str">
        <f>HYPERLINK("http://141.218.60.56/~jnz1568/getInfo.php?workbook=11_01.xlsx&amp;sheet=A0&amp;row=10&amp;col=24&amp;number=12.86&amp;sourceID=30","12.86")</f>
        <v>12.86</v>
      </c>
      <c r="Y10" s="4" t="str">
        <f>HYPERLINK("http://141.218.60.56/~jnz1568/getInfo.php?workbook=11_01.xlsx&amp;sheet=A0&amp;row=10&amp;col=25&amp;number=&amp;sourceID=30","")</f>
        <v/>
      </c>
      <c r="Z10" s="4" t="str">
        <f>HYPERLINK("http://141.218.60.56/~jnz1568/getInfo.php?workbook=11_01.xlsx&amp;sheet=A0&amp;row=10&amp;col=26&amp;number==&amp;sourceID=13","=")</f>
        <v>=</v>
      </c>
      <c r="AA10" s="4" t="str">
        <f>HYPERLINK("http://141.218.60.56/~jnz1568/getInfo.php?workbook=11_01.xlsx&amp;sheet=A0&amp;row=10&amp;col=27&amp;number=&amp;sourceID=13","")</f>
        <v/>
      </c>
      <c r="AB10" s="4" t="str">
        <f>HYPERLINK("http://141.218.60.56/~jnz1568/getInfo.php?workbook=11_01.xlsx&amp;sheet=A0&amp;row=10&amp;col=28&amp;number=&amp;sourceID=13","")</f>
        <v/>
      </c>
      <c r="AC10" s="4" t="str">
        <f>HYPERLINK("http://141.218.60.56/~jnz1568/getInfo.php?workbook=11_01.xlsx&amp;sheet=A0&amp;row=10&amp;col=29&amp;number=&amp;sourceID=13","")</f>
        <v/>
      </c>
      <c r="AD10" s="4" t="str">
        <f>HYPERLINK("http://141.218.60.56/~jnz1568/getInfo.php?workbook=11_01.xlsx&amp;sheet=A0&amp;row=10&amp;col=30&amp;number=12.8&amp;sourceID=13","12.8")</f>
        <v>12.8</v>
      </c>
      <c r="AE10" s="4" t="str">
        <f>HYPERLINK("http://141.218.60.56/~jnz1568/getInfo.php?workbook=11_01.xlsx&amp;sheet=A0&amp;row=10&amp;col=31&amp;number=&amp;sourceID=13","")</f>
        <v/>
      </c>
    </row>
    <row r="11" spans="1:31">
      <c r="A11" s="3">
        <v>11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HYPERLINK("http://141.218.60.56/~jnz1568/getInfo.php?workbook=11_01.xlsx&amp;sheet=A0&amp;row=11&amp;col=6&amp;number=&amp;sourceID=18","")</f>
        <v/>
      </c>
      <c r="G11" s="4" t="str">
        <f>HYPERLINK("http://141.218.60.56/~jnz1568/getInfo.php?workbook=11_01.xlsx&amp;sheet=A0&amp;row=11&amp;col=7&amp;number==&amp;sourceID=11","=")</f>
        <v>=</v>
      </c>
      <c r="H11" s="4" t="str">
        <f>HYPERLINK("http://141.218.60.56/~jnz1568/getInfo.php?workbook=11_01.xlsx&amp;sheet=A0&amp;row=11&amp;col=8&amp;number=330270000000&amp;sourceID=11","330270000000")</f>
        <v>330270000000</v>
      </c>
      <c r="I11" s="4" t="str">
        <f>HYPERLINK("http://141.218.60.56/~jnz1568/getInfo.php?workbook=11_01.xlsx&amp;sheet=A0&amp;row=11&amp;col=9&amp;number=&amp;sourceID=11","")</f>
        <v/>
      </c>
      <c r="J11" s="4" t="str">
        <f>HYPERLINK("http://141.218.60.56/~jnz1568/getInfo.php?workbook=11_01.xlsx&amp;sheet=A0&amp;row=11&amp;col=10&amp;number=&amp;sourceID=11","")</f>
        <v/>
      </c>
      <c r="K11" s="4" t="str">
        <f>HYPERLINK("http://141.218.60.56/~jnz1568/getInfo.php?workbook=11_01.xlsx&amp;sheet=A0&amp;row=11&amp;col=11&amp;number=&amp;sourceID=11","")</f>
        <v/>
      </c>
      <c r="L11" s="4" t="str">
        <f>HYPERLINK("http://141.218.60.56/~jnz1568/getInfo.php?workbook=11_01.xlsx&amp;sheet=A0&amp;row=11&amp;col=12&amp;number=&amp;sourceID=11","")</f>
        <v/>
      </c>
      <c r="M11" s="4" t="str">
        <f>HYPERLINK("http://141.218.60.56/~jnz1568/getInfo.php?workbook=11_01.xlsx&amp;sheet=A0&amp;row=11&amp;col=13&amp;number=&amp;sourceID=11","")</f>
        <v/>
      </c>
      <c r="N11" s="4" t="str">
        <f>HYPERLINK("http://141.218.60.56/~jnz1568/getInfo.php?workbook=11_01.xlsx&amp;sheet=A0&amp;row=11&amp;col=14&amp;number=330270000000&amp;sourceID=12","330270000000")</f>
        <v>330270000000</v>
      </c>
      <c r="O11" s="4" t="str">
        <f>HYPERLINK("http://141.218.60.56/~jnz1568/getInfo.php?workbook=11_01.xlsx&amp;sheet=A0&amp;row=11&amp;col=15&amp;number=330270000000&amp;sourceID=12","330270000000")</f>
        <v>330270000000</v>
      </c>
      <c r="P11" s="4" t="str">
        <f>HYPERLINK("http://141.218.60.56/~jnz1568/getInfo.php?workbook=11_01.xlsx&amp;sheet=A0&amp;row=11&amp;col=16&amp;number=&amp;sourceID=12","")</f>
        <v/>
      </c>
      <c r="Q11" s="4" t="str">
        <f>HYPERLINK("http://141.218.60.56/~jnz1568/getInfo.php?workbook=11_01.xlsx&amp;sheet=A0&amp;row=11&amp;col=17&amp;number=&amp;sourceID=12","")</f>
        <v/>
      </c>
      <c r="R11" s="4" t="str">
        <f>HYPERLINK("http://141.218.60.56/~jnz1568/getInfo.php?workbook=11_01.xlsx&amp;sheet=A0&amp;row=11&amp;col=18&amp;number=&amp;sourceID=12","")</f>
        <v/>
      </c>
      <c r="S11" s="4" t="str">
        <f>HYPERLINK("http://141.218.60.56/~jnz1568/getInfo.php?workbook=11_01.xlsx&amp;sheet=A0&amp;row=11&amp;col=19&amp;number=&amp;sourceID=12","")</f>
        <v/>
      </c>
      <c r="T11" s="4" t="str">
        <f>HYPERLINK("http://141.218.60.56/~jnz1568/getInfo.php?workbook=11_01.xlsx&amp;sheet=A0&amp;row=11&amp;col=20&amp;number=&amp;sourceID=12","")</f>
        <v/>
      </c>
      <c r="U11" s="4" t="str">
        <f>HYPERLINK("http://141.218.60.56/~jnz1568/getInfo.php?workbook=11_01.xlsx&amp;sheet=A0&amp;row=11&amp;col=21&amp;number=330300000000&amp;sourceID=30","330300000000")</f>
        <v>330300000000</v>
      </c>
      <c r="V11" s="4" t="str">
        <f>HYPERLINK("http://141.218.60.56/~jnz1568/getInfo.php?workbook=11_01.xlsx&amp;sheet=A0&amp;row=11&amp;col=22&amp;number=330300000000&amp;sourceID=30","330300000000")</f>
        <v>330300000000</v>
      </c>
      <c r="W11" s="4" t="str">
        <f>HYPERLINK("http://141.218.60.56/~jnz1568/getInfo.php?workbook=11_01.xlsx&amp;sheet=A0&amp;row=11&amp;col=23&amp;number=&amp;sourceID=30","")</f>
        <v/>
      </c>
      <c r="X11" s="4" t="str">
        <f>HYPERLINK("http://141.218.60.56/~jnz1568/getInfo.php?workbook=11_01.xlsx&amp;sheet=A0&amp;row=11&amp;col=24&amp;number=&amp;sourceID=30","")</f>
        <v/>
      </c>
      <c r="Y11" s="4" t="str">
        <f>HYPERLINK("http://141.218.60.56/~jnz1568/getInfo.php?workbook=11_01.xlsx&amp;sheet=A0&amp;row=11&amp;col=25&amp;number=&amp;sourceID=30","")</f>
        <v/>
      </c>
      <c r="Z11" s="4" t="str">
        <f>HYPERLINK("http://141.218.60.56/~jnz1568/getInfo.php?workbook=11_01.xlsx&amp;sheet=A0&amp;row=11&amp;col=26&amp;number==&amp;sourceID=13","=")</f>
        <v>=</v>
      </c>
      <c r="AA11" s="4" t="str">
        <f>HYPERLINK("http://141.218.60.56/~jnz1568/getInfo.php?workbook=11_01.xlsx&amp;sheet=A0&amp;row=11&amp;col=27&amp;number=329000000000&amp;sourceID=13","329000000000")</f>
        <v>329000000000</v>
      </c>
      <c r="AB11" s="4" t="str">
        <f>HYPERLINK("http://141.218.60.56/~jnz1568/getInfo.php?workbook=11_01.xlsx&amp;sheet=A0&amp;row=11&amp;col=28&amp;number=&amp;sourceID=13","")</f>
        <v/>
      </c>
      <c r="AC11" s="4" t="str">
        <f>HYPERLINK("http://141.218.60.56/~jnz1568/getInfo.php?workbook=11_01.xlsx&amp;sheet=A0&amp;row=11&amp;col=29&amp;number=&amp;sourceID=13","")</f>
        <v/>
      </c>
      <c r="AD11" s="4" t="str">
        <f>HYPERLINK("http://141.218.60.56/~jnz1568/getInfo.php?workbook=11_01.xlsx&amp;sheet=A0&amp;row=11&amp;col=30&amp;number=&amp;sourceID=13","")</f>
        <v/>
      </c>
      <c r="AE11" s="4" t="str">
        <f>HYPERLINK("http://141.218.60.56/~jnz1568/getInfo.php?workbook=11_01.xlsx&amp;sheet=A0&amp;row=11&amp;col=31&amp;number=&amp;sourceID=13","")</f>
        <v/>
      </c>
    </row>
    <row r="12" spans="1:31">
      <c r="A12" s="3">
        <v>11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HYPERLINK("http://141.218.60.56/~jnz1568/getInfo.php?workbook=11_01.xlsx&amp;sheet=A0&amp;row=12&amp;col=6&amp;number=&amp;sourceID=18","")</f>
        <v/>
      </c>
      <c r="G12" s="4" t="str">
        <f>HYPERLINK("http://141.218.60.56/~jnz1568/getInfo.php?workbook=11_01.xlsx&amp;sheet=A0&amp;row=12&amp;col=7&amp;number==&amp;sourceID=11","=")</f>
        <v>=</v>
      </c>
      <c r="H12" s="4" t="str">
        <f>HYPERLINK("http://141.218.60.56/~jnz1568/getInfo.php?workbook=11_01.xlsx&amp;sheet=A0&amp;row=12&amp;col=8&amp;number=&amp;sourceID=11","")</f>
        <v/>
      </c>
      <c r="I12" s="4" t="str">
        <f>HYPERLINK("http://141.218.60.56/~jnz1568/getInfo.php?workbook=11_01.xlsx&amp;sheet=A0&amp;row=12&amp;col=9&amp;number=42417000&amp;sourceID=11","42417000")</f>
        <v>42417000</v>
      </c>
      <c r="J12" s="4" t="str">
        <f>HYPERLINK("http://141.218.60.56/~jnz1568/getInfo.php?workbook=11_01.xlsx&amp;sheet=A0&amp;row=12&amp;col=10&amp;number=&amp;sourceID=11","")</f>
        <v/>
      </c>
      <c r="K12" s="4" t="str">
        <f>HYPERLINK("http://141.218.60.56/~jnz1568/getInfo.php?workbook=11_01.xlsx&amp;sheet=A0&amp;row=12&amp;col=11&amp;number=336.38&amp;sourceID=11","336.38")</f>
        <v>336.38</v>
      </c>
      <c r="L12" s="4" t="str">
        <f>HYPERLINK("http://141.218.60.56/~jnz1568/getInfo.php?workbook=11_01.xlsx&amp;sheet=A0&amp;row=12&amp;col=12&amp;number=&amp;sourceID=11","")</f>
        <v/>
      </c>
      <c r="M12" s="4" t="str">
        <f>HYPERLINK("http://141.218.60.56/~jnz1568/getInfo.php?workbook=11_01.xlsx&amp;sheet=A0&amp;row=12&amp;col=13&amp;number=&amp;sourceID=11","")</f>
        <v/>
      </c>
      <c r="N12" s="4" t="str">
        <f>HYPERLINK("http://141.218.60.56/~jnz1568/getInfo.php?workbook=11_01.xlsx&amp;sheet=A0&amp;row=12&amp;col=14&amp;number=42418000&amp;sourceID=12","42418000")</f>
        <v>42418000</v>
      </c>
      <c r="O12" s="4" t="str">
        <f>HYPERLINK("http://141.218.60.56/~jnz1568/getInfo.php?workbook=11_01.xlsx&amp;sheet=A0&amp;row=12&amp;col=15&amp;number=&amp;sourceID=12","")</f>
        <v/>
      </c>
      <c r="P12" s="4" t="str">
        <f>HYPERLINK("http://141.218.60.56/~jnz1568/getInfo.php?workbook=11_01.xlsx&amp;sheet=A0&amp;row=12&amp;col=16&amp;number=42418000&amp;sourceID=12","42418000")</f>
        <v>42418000</v>
      </c>
      <c r="Q12" s="4" t="str">
        <f>HYPERLINK("http://141.218.60.56/~jnz1568/getInfo.php?workbook=11_01.xlsx&amp;sheet=A0&amp;row=12&amp;col=17&amp;number=&amp;sourceID=12","")</f>
        <v/>
      </c>
      <c r="R12" s="4" t="str">
        <f>HYPERLINK("http://141.218.60.56/~jnz1568/getInfo.php?workbook=11_01.xlsx&amp;sheet=A0&amp;row=12&amp;col=18&amp;number=336.38&amp;sourceID=12","336.38")</f>
        <v>336.38</v>
      </c>
      <c r="S12" s="4" t="str">
        <f>HYPERLINK("http://141.218.60.56/~jnz1568/getInfo.php?workbook=11_01.xlsx&amp;sheet=A0&amp;row=12&amp;col=19&amp;number=&amp;sourceID=12","")</f>
        <v/>
      </c>
      <c r="T12" s="4" t="str">
        <f>HYPERLINK("http://141.218.60.56/~jnz1568/getInfo.php?workbook=11_01.xlsx&amp;sheet=A0&amp;row=12&amp;col=20&amp;number=&amp;sourceID=12","")</f>
        <v/>
      </c>
      <c r="U12" s="4" t="str">
        <f>HYPERLINK("http://141.218.60.56/~jnz1568/getInfo.php?workbook=11_01.xlsx&amp;sheet=A0&amp;row=12&amp;col=21&amp;number=42420336.4&amp;sourceID=30","42420336.4")</f>
        <v>42420336.4</v>
      </c>
      <c r="V12" s="4" t="str">
        <f>HYPERLINK("http://141.218.60.56/~jnz1568/getInfo.php?workbook=11_01.xlsx&amp;sheet=A0&amp;row=12&amp;col=22&amp;number=&amp;sourceID=30","")</f>
        <v/>
      </c>
      <c r="W12" s="4" t="str">
        <f>HYPERLINK("http://141.218.60.56/~jnz1568/getInfo.php?workbook=11_01.xlsx&amp;sheet=A0&amp;row=12&amp;col=23&amp;number=42420000&amp;sourceID=30","42420000")</f>
        <v>42420000</v>
      </c>
      <c r="X12" s="4" t="str">
        <f>HYPERLINK("http://141.218.60.56/~jnz1568/getInfo.php?workbook=11_01.xlsx&amp;sheet=A0&amp;row=12&amp;col=24&amp;number=336.4&amp;sourceID=30","336.4")</f>
        <v>336.4</v>
      </c>
      <c r="Y12" s="4" t="str">
        <f>HYPERLINK("http://141.218.60.56/~jnz1568/getInfo.php?workbook=11_01.xlsx&amp;sheet=A0&amp;row=12&amp;col=25&amp;number=&amp;sourceID=30","")</f>
        <v/>
      </c>
      <c r="Z12" s="4" t="str">
        <f>HYPERLINK("http://141.218.60.56/~jnz1568/getInfo.php?workbook=11_01.xlsx&amp;sheet=A0&amp;row=12&amp;col=26&amp;number==&amp;sourceID=13","=")</f>
        <v>=</v>
      </c>
      <c r="AA12" s="4" t="str">
        <f>HYPERLINK("http://141.218.60.56/~jnz1568/getInfo.php?workbook=11_01.xlsx&amp;sheet=A0&amp;row=12&amp;col=27&amp;number=&amp;sourceID=13","")</f>
        <v/>
      </c>
      <c r="AB12" s="4" t="str">
        <f>HYPERLINK("http://141.218.60.56/~jnz1568/getInfo.php?workbook=11_01.xlsx&amp;sheet=A0&amp;row=12&amp;col=28&amp;number=42300000&amp;sourceID=13","42300000")</f>
        <v>42300000</v>
      </c>
      <c r="AC12" s="4" t="str">
        <f>HYPERLINK("http://141.218.60.56/~jnz1568/getInfo.php?workbook=11_01.xlsx&amp;sheet=A0&amp;row=12&amp;col=29&amp;number=&amp;sourceID=13","")</f>
        <v/>
      </c>
      <c r="AD12" s="4" t="str">
        <f>HYPERLINK("http://141.218.60.56/~jnz1568/getInfo.php?workbook=11_01.xlsx&amp;sheet=A0&amp;row=12&amp;col=30&amp;number=366&amp;sourceID=13","366")</f>
        <v>366</v>
      </c>
      <c r="AE12" s="4" t="str">
        <f>HYPERLINK("http://141.218.60.56/~jnz1568/getInfo.php?workbook=11_01.xlsx&amp;sheet=A0&amp;row=12&amp;col=31&amp;number=&amp;sourceID=13","")</f>
        <v/>
      </c>
    </row>
    <row r="13" spans="1:31">
      <c r="A13" s="3">
        <v>11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HYPERLINK("http://141.218.60.56/~jnz1568/getInfo.php?workbook=11_01.xlsx&amp;sheet=A0&amp;row=13&amp;col=6&amp;number=&amp;sourceID=18","")</f>
        <v/>
      </c>
      <c r="G13" s="4" t="str">
        <f>HYPERLINK("http://141.218.60.56/~jnz1568/getInfo.php?workbook=11_01.xlsx&amp;sheet=A0&amp;row=13&amp;col=7&amp;number==&amp;sourceID=11","=")</f>
        <v>=</v>
      </c>
      <c r="H13" s="4" t="str">
        <f>HYPERLINK("http://141.218.60.56/~jnz1568/getInfo.php?workbook=11_01.xlsx&amp;sheet=A0&amp;row=13&amp;col=8&amp;number=&amp;sourceID=11","")</f>
        <v/>
      </c>
      <c r="I13" s="4" t="str">
        <f>HYPERLINK("http://141.218.60.56/~jnz1568/getInfo.php?workbook=11_01.xlsx&amp;sheet=A0&amp;row=13&amp;col=9&amp;number=&amp;sourceID=11","")</f>
        <v/>
      </c>
      <c r="J13" s="4" t="str">
        <f>HYPERLINK("http://141.218.60.56/~jnz1568/getInfo.php?workbook=11_01.xlsx&amp;sheet=A0&amp;row=13&amp;col=10&amp;number=&amp;sourceID=11","")</f>
        <v/>
      </c>
      <c r="K13" s="4" t="str">
        <f>HYPERLINK("http://141.218.60.56/~jnz1568/getInfo.php?workbook=11_01.xlsx&amp;sheet=A0&amp;row=13&amp;col=11&amp;number=28949&amp;sourceID=11","28949")</f>
        <v>28949</v>
      </c>
      <c r="L13" s="4" t="str">
        <f>HYPERLINK("http://141.218.60.56/~jnz1568/getInfo.php?workbook=11_01.xlsx&amp;sheet=A0&amp;row=13&amp;col=12&amp;number=&amp;sourceID=11","")</f>
        <v/>
      </c>
      <c r="M13" s="4" t="str">
        <f>HYPERLINK("http://141.218.60.56/~jnz1568/getInfo.php?workbook=11_01.xlsx&amp;sheet=A0&amp;row=13&amp;col=13&amp;number=&amp;sourceID=11","")</f>
        <v/>
      </c>
      <c r="N13" s="4" t="str">
        <f>HYPERLINK("http://141.218.60.56/~jnz1568/getInfo.php?workbook=11_01.xlsx&amp;sheet=A0&amp;row=13&amp;col=14&amp;number=28950&amp;sourceID=12","28950")</f>
        <v>28950</v>
      </c>
      <c r="O13" s="4" t="str">
        <f>HYPERLINK("http://141.218.60.56/~jnz1568/getInfo.php?workbook=11_01.xlsx&amp;sheet=A0&amp;row=13&amp;col=15&amp;number=&amp;sourceID=12","")</f>
        <v/>
      </c>
      <c r="P13" s="4" t="str">
        <f>HYPERLINK("http://141.218.60.56/~jnz1568/getInfo.php?workbook=11_01.xlsx&amp;sheet=A0&amp;row=13&amp;col=16&amp;number=&amp;sourceID=12","")</f>
        <v/>
      </c>
      <c r="Q13" s="4" t="str">
        <f>HYPERLINK("http://141.218.60.56/~jnz1568/getInfo.php?workbook=11_01.xlsx&amp;sheet=A0&amp;row=13&amp;col=17&amp;number=&amp;sourceID=12","")</f>
        <v/>
      </c>
      <c r="R13" s="4" t="str">
        <f>HYPERLINK("http://141.218.60.56/~jnz1568/getInfo.php?workbook=11_01.xlsx&amp;sheet=A0&amp;row=13&amp;col=18&amp;number=28950&amp;sourceID=12","28950")</f>
        <v>28950</v>
      </c>
      <c r="S13" s="4" t="str">
        <f>HYPERLINK("http://141.218.60.56/~jnz1568/getInfo.php?workbook=11_01.xlsx&amp;sheet=A0&amp;row=13&amp;col=19&amp;number=&amp;sourceID=12","")</f>
        <v/>
      </c>
      <c r="T13" s="4" t="str">
        <f>HYPERLINK("http://141.218.60.56/~jnz1568/getInfo.php?workbook=11_01.xlsx&amp;sheet=A0&amp;row=13&amp;col=20&amp;number=&amp;sourceID=12","")</f>
        <v/>
      </c>
      <c r="U13" s="4" t="str">
        <f>HYPERLINK("http://141.218.60.56/~jnz1568/getInfo.php?workbook=11_01.xlsx&amp;sheet=A0&amp;row=13&amp;col=21&amp;number=28950&amp;sourceID=30","28950")</f>
        <v>28950</v>
      </c>
      <c r="V13" s="4" t="str">
        <f>HYPERLINK("http://141.218.60.56/~jnz1568/getInfo.php?workbook=11_01.xlsx&amp;sheet=A0&amp;row=13&amp;col=22&amp;number=&amp;sourceID=30","")</f>
        <v/>
      </c>
      <c r="W13" s="4" t="str">
        <f>HYPERLINK("http://141.218.60.56/~jnz1568/getInfo.php?workbook=11_01.xlsx&amp;sheet=A0&amp;row=13&amp;col=23&amp;number=&amp;sourceID=30","")</f>
        <v/>
      </c>
      <c r="X13" s="4" t="str">
        <f>HYPERLINK("http://141.218.60.56/~jnz1568/getInfo.php?workbook=11_01.xlsx&amp;sheet=A0&amp;row=13&amp;col=24&amp;number=28950&amp;sourceID=30","28950")</f>
        <v>28950</v>
      </c>
      <c r="Y13" s="4" t="str">
        <f>HYPERLINK("http://141.218.60.56/~jnz1568/getInfo.php?workbook=11_01.xlsx&amp;sheet=A0&amp;row=13&amp;col=25&amp;number=&amp;sourceID=30","")</f>
        <v/>
      </c>
      <c r="Z13" s="4" t="str">
        <f>HYPERLINK("http://141.218.60.56/~jnz1568/getInfo.php?workbook=11_01.xlsx&amp;sheet=A0&amp;row=13&amp;col=26&amp;number==&amp;sourceID=13","=")</f>
        <v>=</v>
      </c>
      <c r="AA13" s="4" t="str">
        <f>HYPERLINK("http://141.218.60.56/~jnz1568/getInfo.php?workbook=11_01.xlsx&amp;sheet=A0&amp;row=13&amp;col=27&amp;number=&amp;sourceID=13","")</f>
        <v/>
      </c>
      <c r="AB13" s="4" t="str">
        <f>HYPERLINK("http://141.218.60.56/~jnz1568/getInfo.php?workbook=11_01.xlsx&amp;sheet=A0&amp;row=13&amp;col=28&amp;number=&amp;sourceID=13","")</f>
        <v/>
      </c>
      <c r="AC13" s="4" t="str">
        <f>HYPERLINK("http://141.218.60.56/~jnz1568/getInfo.php?workbook=11_01.xlsx&amp;sheet=A0&amp;row=13&amp;col=29&amp;number=&amp;sourceID=13","")</f>
        <v/>
      </c>
      <c r="AD13" s="4" t="str">
        <f>HYPERLINK("http://141.218.60.56/~jnz1568/getInfo.php?workbook=11_01.xlsx&amp;sheet=A0&amp;row=13&amp;col=30&amp;number=29700&amp;sourceID=13","29700")</f>
        <v>29700</v>
      </c>
      <c r="AE13" s="4" t="str">
        <f>HYPERLINK("http://141.218.60.56/~jnz1568/getInfo.php?workbook=11_01.xlsx&amp;sheet=A0&amp;row=13&amp;col=31&amp;number=&amp;sourceID=13","")</f>
        <v/>
      </c>
    </row>
    <row r="14" spans="1:31">
      <c r="A14" s="3">
        <v>11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HYPERLINK("http://141.218.60.56/~jnz1568/getInfo.php?workbook=11_01.xlsx&amp;sheet=A0&amp;row=14&amp;col=6&amp;number=&amp;sourceID=18","")</f>
        <v/>
      </c>
      <c r="G14" s="4" t="str">
        <f>HYPERLINK("http://141.218.60.56/~jnz1568/getInfo.php?workbook=11_01.xlsx&amp;sheet=A0&amp;row=14&amp;col=7&amp;number==&amp;sourceID=11","=")</f>
        <v>=</v>
      </c>
      <c r="H14" s="4" t="str">
        <f>HYPERLINK("http://141.218.60.56/~jnz1568/getInfo.php?workbook=11_01.xlsx&amp;sheet=A0&amp;row=14&amp;col=8&amp;number=30954000000&amp;sourceID=11","30954000000")</f>
        <v>30954000000</v>
      </c>
      <c r="I14" s="4" t="str">
        <f>HYPERLINK("http://141.218.60.56/~jnz1568/getInfo.php?workbook=11_01.xlsx&amp;sheet=A0&amp;row=14&amp;col=9&amp;number=&amp;sourceID=11","")</f>
        <v/>
      </c>
      <c r="J14" s="4" t="str">
        <f>HYPERLINK("http://141.218.60.56/~jnz1568/getInfo.php?workbook=11_01.xlsx&amp;sheet=A0&amp;row=14&amp;col=10&amp;number=&amp;sourceID=11","")</f>
        <v/>
      </c>
      <c r="K14" s="4" t="str">
        <f>HYPERLINK("http://141.218.60.56/~jnz1568/getInfo.php?workbook=11_01.xlsx&amp;sheet=A0&amp;row=14&amp;col=11&amp;number=&amp;sourceID=11","")</f>
        <v/>
      </c>
      <c r="L14" s="4" t="str">
        <f>HYPERLINK("http://141.218.60.56/~jnz1568/getInfo.php?workbook=11_01.xlsx&amp;sheet=A0&amp;row=14&amp;col=12&amp;number=&amp;sourceID=11","")</f>
        <v/>
      </c>
      <c r="M14" s="4" t="str">
        <f>HYPERLINK("http://141.218.60.56/~jnz1568/getInfo.php?workbook=11_01.xlsx&amp;sheet=A0&amp;row=14&amp;col=13&amp;number=&amp;sourceID=11","")</f>
        <v/>
      </c>
      <c r="N14" s="4" t="str">
        <f>HYPERLINK("http://141.218.60.56/~jnz1568/getInfo.php?workbook=11_01.xlsx&amp;sheet=A0&amp;row=14&amp;col=14&amp;number=30955000000&amp;sourceID=12","30955000000")</f>
        <v>30955000000</v>
      </c>
      <c r="O14" s="4" t="str">
        <f>HYPERLINK("http://141.218.60.56/~jnz1568/getInfo.php?workbook=11_01.xlsx&amp;sheet=A0&amp;row=14&amp;col=15&amp;number=30955000000&amp;sourceID=12","30955000000")</f>
        <v>30955000000</v>
      </c>
      <c r="P14" s="4" t="str">
        <f>HYPERLINK("http://141.218.60.56/~jnz1568/getInfo.php?workbook=11_01.xlsx&amp;sheet=A0&amp;row=14&amp;col=16&amp;number=&amp;sourceID=12","")</f>
        <v/>
      </c>
      <c r="Q14" s="4" t="str">
        <f>HYPERLINK("http://141.218.60.56/~jnz1568/getInfo.php?workbook=11_01.xlsx&amp;sheet=A0&amp;row=14&amp;col=17&amp;number=&amp;sourceID=12","")</f>
        <v/>
      </c>
      <c r="R14" s="4" t="str">
        <f>HYPERLINK("http://141.218.60.56/~jnz1568/getInfo.php?workbook=11_01.xlsx&amp;sheet=A0&amp;row=14&amp;col=18&amp;number=&amp;sourceID=12","")</f>
        <v/>
      </c>
      <c r="S14" s="4" t="str">
        <f>HYPERLINK("http://141.218.60.56/~jnz1568/getInfo.php?workbook=11_01.xlsx&amp;sheet=A0&amp;row=14&amp;col=19&amp;number=&amp;sourceID=12","")</f>
        <v/>
      </c>
      <c r="T14" s="4" t="str">
        <f>HYPERLINK("http://141.218.60.56/~jnz1568/getInfo.php?workbook=11_01.xlsx&amp;sheet=A0&amp;row=14&amp;col=20&amp;number=&amp;sourceID=12","")</f>
        <v/>
      </c>
      <c r="U14" s="4" t="str">
        <f>HYPERLINK("http://141.218.60.56/~jnz1568/getInfo.php?workbook=11_01.xlsx&amp;sheet=A0&amp;row=14&amp;col=21&amp;number=30950000000&amp;sourceID=30","30950000000")</f>
        <v>30950000000</v>
      </c>
      <c r="V14" s="4" t="str">
        <f>HYPERLINK("http://141.218.60.56/~jnz1568/getInfo.php?workbook=11_01.xlsx&amp;sheet=A0&amp;row=14&amp;col=22&amp;number=30950000000&amp;sourceID=30","30950000000")</f>
        <v>30950000000</v>
      </c>
      <c r="W14" s="4" t="str">
        <f>HYPERLINK("http://141.218.60.56/~jnz1568/getInfo.php?workbook=11_01.xlsx&amp;sheet=A0&amp;row=14&amp;col=23&amp;number=&amp;sourceID=30","")</f>
        <v/>
      </c>
      <c r="X14" s="4" t="str">
        <f>HYPERLINK("http://141.218.60.56/~jnz1568/getInfo.php?workbook=11_01.xlsx&amp;sheet=A0&amp;row=14&amp;col=24&amp;number=&amp;sourceID=30","")</f>
        <v/>
      </c>
      <c r="Y14" s="4" t="str">
        <f>HYPERLINK("http://141.218.60.56/~jnz1568/getInfo.php?workbook=11_01.xlsx&amp;sheet=A0&amp;row=14&amp;col=25&amp;number=&amp;sourceID=30","")</f>
        <v/>
      </c>
      <c r="Z14" s="4" t="str">
        <f>HYPERLINK("http://141.218.60.56/~jnz1568/getInfo.php?workbook=11_01.xlsx&amp;sheet=A0&amp;row=14&amp;col=26&amp;number==&amp;sourceID=13","=")</f>
        <v>=</v>
      </c>
      <c r="AA14" s="4" t="str">
        <f>HYPERLINK("http://141.218.60.56/~jnz1568/getInfo.php?workbook=11_01.xlsx&amp;sheet=A0&amp;row=14&amp;col=27&amp;number=30400000000&amp;sourceID=13","30400000000")</f>
        <v>30400000000</v>
      </c>
      <c r="AB14" s="4" t="str">
        <f>HYPERLINK("http://141.218.60.56/~jnz1568/getInfo.php?workbook=11_01.xlsx&amp;sheet=A0&amp;row=14&amp;col=28&amp;number=&amp;sourceID=13","")</f>
        <v/>
      </c>
      <c r="AC14" s="4" t="str">
        <f>HYPERLINK("http://141.218.60.56/~jnz1568/getInfo.php?workbook=11_01.xlsx&amp;sheet=A0&amp;row=14&amp;col=29&amp;number=&amp;sourceID=13","")</f>
        <v/>
      </c>
      <c r="AD14" s="4" t="str">
        <f>HYPERLINK("http://141.218.60.56/~jnz1568/getInfo.php?workbook=11_01.xlsx&amp;sheet=A0&amp;row=14&amp;col=30&amp;number=&amp;sourceID=13","")</f>
        <v/>
      </c>
      <c r="AE14" s="4" t="str">
        <f>HYPERLINK("http://141.218.60.56/~jnz1568/getInfo.php?workbook=11_01.xlsx&amp;sheet=A0&amp;row=14&amp;col=31&amp;number=&amp;sourceID=13","")</f>
        <v/>
      </c>
    </row>
    <row r="15" spans="1:31">
      <c r="A15" s="3">
        <v>11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HYPERLINK("http://141.218.60.56/~jnz1568/getInfo.php?workbook=11_01.xlsx&amp;sheet=A0&amp;row=15&amp;col=6&amp;number=&amp;sourceID=18","")</f>
        <v/>
      </c>
      <c r="G15" s="4" t="str">
        <f>HYPERLINK("http://141.218.60.56/~jnz1568/getInfo.php?workbook=11_01.xlsx&amp;sheet=A0&amp;row=15&amp;col=7&amp;number==&amp;sourceID=11","=")</f>
        <v>=</v>
      </c>
      <c r="H15" s="4" t="str">
        <f>HYPERLINK("http://141.218.60.56/~jnz1568/getInfo.php?workbook=11_01.xlsx&amp;sheet=A0&amp;row=15&amp;col=8&amp;number=&amp;sourceID=11","")</f>
        <v/>
      </c>
      <c r="I15" s="4" t="str">
        <f>HYPERLINK("http://141.218.60.56/~jnz1568/getInfo.php?workbook=11_01.xlsx&amp;sheet=A0&amp;row=15&amp;col=9&amp;number=&amp;sourceID=11","")</f>
        <v/>
      </c>
      <c r="J15" s="4" t="str">
        <f>HYPERLINK("http://141.218.60.56/~jnz1568/getInfo.php?workbook=11_01.xlsx&amp;sheet=A0&amp;row=15&amp;col=10&amp;number=&amp;sourceID=11","")</f>
        <v/>
      </c>
      <c r="K15" s="4" t="str">
        <f>HYPERLINK("http://141.218.60.56/~jnz1568/getInfo.php?workbook=11_01.xlsx&amp;sheet=A0&amp;row=15&amp;col=11&amp;number=49.205&amp;sourceID=11","49.205")</f>
        <v>49.205</v>
      </c>
      <c r="L15" s="4" t="str">
        <f>HYPERLINK("http://141.218.60.56/~jnz1568/getInfo.php?workbook=11_01.xlsx&amp;sheet=A0&amp;row=15&amp;col=12&amp;number=&amp;sourceID=11","")</f>
        <v/>
      </c>
      <c r="M15" s="4" t="str">
        <f>HYPERLINK("http://141.218.60.56/~jnz1568/getInfo.php?workbook=11_01.xlsx&amp;sheet=A0&amp;row=15&amp;col=13&amp;number=&amp;sourceID=11","")</f>
        <v/>
      </c>
      <c r="N15" s="4" t="str">
        <f>HYPERLINK("http://141.218.60.56/~jnz1568/getInfo.php?workbook=11_01.xlsx&amp;sheet=A0&amp;row=15&amp;col=14&amp;number=49.206&amp;sourceID=12","49.206")</f>
        <v>49.206</v>
      </c>
      <c r="O15" s="4" t="str">
        <f>HYPERLINK("http://141.218.60.56/~jnz1568/getInfo.php?workbook=11_01.xlsx&amp;sheet=A0&amp;row=15&amp;col=15&amp;number=&amp;sourceID=12","")</f>
        <v/>
      </c>
      <c r="P15" s="4" t="str">
        <f>HYPERLINK("http://141.218.60.56/~jnz1568/getInfo.php?workbook=11_01.xlsx&amp;sheet=A0&amp;row=15&amp;col=16&amp;number=&amp;sourceID=12","")</f>
        <v/>
      </c>
      <c r="Q15" s="4" t="str">
        <f>HYPERLINK("http://141.218.60.56/~jnz1568/getInfo.php?workbook=11_01.xlsx&amp;sheet=A0&amp;row=15&amp;col=17&amp;number=&amp;sourceID=12","")</f>
        <v/>
      </c>
      <c r="R15" s="4" t="str">
        <f>HYPERLINK("http://141.218.60.56/~jnz1568/getInfo.php?workbook=11_01.xlsx&amp;sheet=A0&amp;row=15&amp;col=18&amp;number=49.206&amp;sourceID=12","49.206")</f>
        <v>49.206</v>
      </c>
      <c r="S15" s="4" t="str">
        <f>HYPERLINK("http://141.218.60.56/~jnz1568/getInfo.php?workbook=11_01.xlsx&amp;sheet=A0&amp;row=15&amp;col=19&amp;number=&amp;sourceID=12","")</f>
        <v/>
      </c>
      <c r="T15" s="4" t="str">
        <f>HYPERLINK("http://141.218.60.56/~jnz1568/getInfo.php?workbook=11_01.xlsx&amp;sheet=A0&amp;row=15&amp;col=20&amp;number=&amp;sourceID=12","")</f>
        <v/>
      </c>
      <c r="U15" s="4" t="str">
        <f>HYPERLINK("http://141.218.60.56/~jnz1568/getInfo.php?workbook=11_01.xlsx&amp;sheet=A0&amp;row=15&amp;col=21&amp;number=49.21&amp;sourceID=30","49.21")</f>
        <v>49.21</v>
      </c>
      <c r="V15" s="4" t="str">
        <f>HYPERLINK("http://141.218.60.56/~jnz1568/getInfo.php?workbook=11_01.xlsx&amp;sheet=A0&amp;row=15&amp;col=22&amp;number=&amp;sourceID=30","")</f>
        <v/>
      </c>
      <c r="W15" s="4" t="str">
        <f>HYPERLINK("http://141.218.60.56/~jnz1568/getInfo.php?workbook=11_01.xlsx&amp;sheet=A0&amp;row=15&amp;col=23&amp;number=&amp;sourceID=30","")</f>
        <v/>
      </c>
      <c r="X15" s="4" t="str">
        <f>HYPERLINK("http://141.218.60.56/~jnz1568/getInfo.php?workbook=11_01.xlsx&amp;sheet=A0&amp;row=15&amp;col=24&amp;number=49.21&amp;sourceID=30","49.21")</f>
        <v>49.21</v>
      </c>
      <c r="Y15" s="4" t="str">
        <f>HYPERLINK("http://141.218.60.56/~jnz1568/getInfo.php?workbook=11_01.xlsx&amp;sheet=A0&amp;row=15&amp;col=25&amp;number=&amp;sourceID=30","")</f>
        <v/>
      </c>
      <c r="Z15" s="4" t="str">
        <f>HYPERLINK("http://141.218.60.56/~jnz1568/getInfo.php?workbook=11_01.xlsx&amp;sheet=A0&amp;row=15&amp;col=26&amp;number==&amp;sourceID=13","=")</f>
        <v>=</v>
      </c>
      <c r="AA15" s="4" t="str">
        <f>HYPERLINK("http://141.218.60.56/~jnz1568/getInfo.php?workbook=11_01.xlsx&amp;sheet=A0&amp;row=15&amp;col=27&amp;number=&amp;sourceID=13","")</f>
        <v/>
      </c>
      <c r="AB15" s="4" t="str">
        <f>HYPERLINK("http://141.218.60.56/~jnz1568/getInfo.php?workbook=11_01.xlsx&amp;sheet=A0&amp;row=15&amp;col=28&amp;number=&amp;sourceID=13","")</f>
        <v/>
      </c>
      <c r="AC15" s="4" t="str">
        <f>HYPERLINK("http://141.218.60.56/~jnz1568/getInfo.php?workbook=11_01.xlsx&amp;sheet=A0&amp;row=15&amp;col=29&amp;number=&amp;sourceID=13","")</f>
        <v/>
      </c>
      <c r="AD15" s="4" t="str">
        <f>HYPERLINK("http://141.218.60.56/~jnz1568/getInfo.php?workbook=11_01.xlsx&amp;sheet=A0&amp;row=15&amp;col=30&amp;number=48.7&amp;sourceID=13","48.7")</f>
        <v>48.7</v>
      </c>
      <c r="AE15" s="4" t="str">
        <f>HYPERLINK("http://141.218.60.56/~jnz1568/getInfo.php?workbook=11_01.xlsx&amp;sheet=A0&amp;row=15&amp;col=31&amp;number=&amp;sourceID=13","")</f>
        <v/>
      </c>
    </row>
    <row r="16" spans="1:31">
      <c r="A16" s="3">
        <v>11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HYPERLINK("http://141.218.60.56/~jnz1568/getInfo.php?workbook=11_01.xlsx&amp;sheet=A0&amp;row=16&amp;col=6&amp;number=&amp;sourceID=18","")</f>
        <v/>
      </c>
      <c r="G16" s="4" t="str">
        <f>HYPERLINK("http://141.218.60.56/~jnz1568/getInfo.php?workbook=11_01.xlsx&amp;sheet=A0&amp;row=16&amp;col=7&amp;number==&amp;sourceID=11","=")</f>
        <v>=</v>
      </c>
      <c r="H16" s="4" t="str">
        <f>HYPERLINK("http://141.218.60.56/~jnz1568/getInfo.php?workbook=11_01.xlsx&amp;sheet=A0&amp;row=16&amp;col=8&amp;number=62739000000&amp;sourceID=11","62739000000")</f>
        <v>62739000000</v>
      </c>
      <c r="I16" s="4" t="str">
        <f>HYPERLINK("http://141.218.60.56/~jnz1568/getInfo.php?workbook=11_01.xlsx&amp;sheet=A0&amp;row=16&amp;col=9&amp;number=&amp;sourceID=11","")</f>
        <v/>
      </c>
      <c r="J16" s="4" t="str">
        <f>HYPERLINK("http://141.218.60.56/~jnz1568/getInfo.php?workbook=11_01.xlsx&amp;sheet=A0&amp;row=16&amp;col=10&amp;number=&amp;sourceID=11","")</f>
        <v/>
      </c>
      <c r="K16" s="4" t="str">
        <f>HYPERLINK("http://141.218.60.56/~jnz1568/getInfo.php?workbook=11_01.xlsx&amp;sheet=A0&amp;row=16&amp;col=11&amp;number=&amp;sourceID=11","")</f>
        <v/>
      </c>
      <c r="L16" s="4" t="str">
        <f>HYPERLINK("http://141.218.60.56/~jnz1568/getInfo.php?workbook=11_01.xlsx&amp;sheet=A0&amp;row=16&amp;col=12&amp;number=2355.6&amp;sourceID=11","2355.6")</f>
        <v>2355.6</v>
      </c>
      <c r="M16" s="4" t="str">
        <f>HYPERLINK("http://141.218.60.56/~jnz1568/getInfo.php?workbook=11_01.xlsx&amp;sheet=A0&amp;row=16&amp;col=13&amp;number=&amp;sourceID=11","")</f>
        <v/>
      </c>
      <c r="N16" s="4" t="str">
        <f>HYPERLINK("http://141.218.60.56/~jnz1568/getInfo.php?workbook=11_01.xlsx&amp;sheet=A0&amp;row=16&amp;col=14&amp;number=62741000000&amp;sourceID=12","62741000000")</f>
        <v>62741000000</v>
      </c>
      <c r="O16" s="4" t="str">
        <f>HYPERLINK("http://141.218.60.56/~jnz1568/getInfo.php?workbook=11_01.xlsx&amp;sheet=A0&amp;row=16&amp;col=15&amp;number=62741000000&amp;sourceID=12","62741000000")</f>
        <v>62741000000</v>
      </c>
      <c r="P16" s="4" t="str">
        <f>HYPERLINK("http://141.218.60.56/~jnz1568/getInfo.php?workbook=11_01.xlsx&amp;sheet=A0&amp;row=16&amp;col=16&amp;number=&amp;sourceID=12","")</f>
        <v/>
      </c>
      <c r="Q16" s="4" t="str">
        <f>HYPERLINK("http://141.218.60.56/~jnz1568/getInfo.php?workbook=11_01.xlsx&amp;sheet=A0&amp;row=16&amp;col=17&amp;number=&amp;sourceID=12","")</f>
        <v/>
      </c>
      <c r="R16" s="4" t="str">
        <f>HYPERLINK("http://141.218.60.56/~jnz1568/getInfo.php?workbook=11_01.xlsx&amp;sheet=A0&amp;row=16&amp;col=18&amp;number=&amp;sourceID=12","")</f>
        <v/>
      </c>
      <c r="S16" s="4" t="str">
        <f>HYPERLINK("http://141.218.60.56/~jnz1568/getInfo.php?workbook=11_01.xlsx&amp;sheet=A0&amp;row=16&amp;col=19&amp;number=2355.7&amp;sourceID=12","2355.7")</f>
        <v>2355.7</v>
      </c>
      <c r="T16" s="4" t="str">
        <f>HYPERLINK("http://141.218.60.56/~jnz1568/getInfo.php?workbook=11_01.xlsx&amp;sheet=A0&amp;row=16&amp;col=20&amp;number=&amp;sourceID=12","")</f>
        <v/>
      </c>
      <c r="U16" s="4" t="str">
        <f>HYPERLINK("http://141.218.60.56/~jnz1568/getInfo.php?workbook=11_01.xlsx&amp;sheet=A0&amp;row=16&amp;col=21&amp;number=62740002356&amp;sourceID=30","62740002356")</f>
        <v>62740002356</v>
      </c>
      <c r="V16" s="4" t="str">
        <f>HYPERLINK("http://141.218.60.56/~jnz1568/getInfo.php?workbook=11_01.xlsx&amp;sheet=A0&amp;row=16&amp;col=22&amp;number=62740000000&amp;sourceID=30","62740000000")</f>
        <v>62740000000</v>
      </c>
      <c r="W16" s="4" t="str">
        <f>HYPERLINK("http://141.218.60.56/~jnz1568/getInfo.php?workbook=11_01.xlsx&amp;sheet=A0&amp;row=16&amp;col=23&amp;number=&amp;sourceID=30","")</f>
        <v/>
      </c>
      <c r="X16" s="4" t="str">
        <f>HYPERLINK("http://141.218.60.56/~jnz1568/getInfo.php?workbook=11_01.xlsx&amp;sheet=A0&amp;row=16&amp;col=24&amp;number=&amp;sourceID=30","")</f>
        <v/>
      </c>
      <c r="Y16" s="4" t="str">
        <f>HYPERLINK("http://141.218.60.56/~jnz1568/getInfo.php?workbook=11_01.xlsx&amp;sheet=A0&amp;row=16&amp;col=25&amp;number=2356&amp;sourceID=30","2356")</f>
        <v>2356</v>
      </c>
      <c r="Z16" s="4" t="str">
        <f>HYPERLINK("http://141.218.60.56/~jnz1568/getInfo.php?workbook=11_01.xlsx&amp;sheet=A0&amp;row=16&amp;col=26&amp;number==&amp;sourceID=13","=")</f>
        <v>=</v>
      </c>
      <c r="AA16" s="4" t="str">
        <f>HYPERLINK("http://141.218.60.56/~jnz1568/getInfo.php?workbook=11_01.xlsx&amp;sheet=A0&amp;row=16&amp;col=27&amp;number=62300000000&amp;sourceID=13","62300000000")</f>
        <v>62300000000</v>
      </c>
      <c r="AB16" s="4" t="str">
        <f>HYPERLINK("http://141.218.60.56/~jnz1568/getInfo.php?workbook=11_01.xlsx&amp;sheet=A0&amp;row=16&amp;col=28&amp;number=&amp;sourceID=13","")</f>
        <v/>
      </c>
      <c r="AC16" s="4" t="str">
        <f>HYPERLINK("http://141.218.60.56/~jnz1568/getInfo.php?workbook=11_01.xlsx&amp;sheet=A0&amp;row=16&amp;col=29&amp;number=&amp;sourceID=13","")</f>
        <v/>
      </c>
      <c r="AD16" s="4" t="str">
        <f>HYPERLINK("http://141.218.60.56/~jnz1568/getInfo.php?workbook=11_01.xlsx&amp;sheet=A0&amp;row=16&amp;col=30&amp;number=&amp;sourceID=13","")</f>
        <v/>
      </c>
      <c r="AE16" s="4" t="str">
        <f>HYPERLINK("http://141.218.60.56/~jnz1568/getInfo.php?workbook=11_01.xlsx&amp;sheet=A0&amp;row=16&amp;col=31&amp;number=&amp;sourceID=13","")</f>
        <v/>
      </c>
    </row>
    <row r="17" spans="1:31">
      <c r="A17" s="3">
        <v>11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HYPERLINK("http://141.218.60.56/~jnz1568/getInfo.php?workbook=11_01.xlsx&amp;sheet=A0&amp;row=17&amp;col=6&amp;number=&amp;sourceID=18","")</f>
        <v/>
      </c>
      <c r="G17" s="4" t="str">
        <f>HYPERLINK("http://141.218.60.56/~jnz1568/getInfo.php?workbook=11_01.xlsx&amp;sheet=A0&amp;row=17&amp;col=7&amp;number==&amp;sourceID=11","=")</f>
        <v>=</v>
      </c>
      <c r="H17" s="4" t="str">
        <f>HYPERLINK("http://141.218.60.56/~jnz1568/getInfo.php?workbook=11_01.xlsx&amp;sheet=A0&amp;row=17&amp;col=8&amp;number=&amp;sourceID=11","")</f>
        <v/>
      </c>
      <c r="I17" s="4" t="str">
        <f>HYPERLINK("http://141.218.60.56/~jnz1568/getInfo.php?workbook=11_01.xlsx&amp;sheet=A0&amp;row=17&amp;col=9&amp;number=1050300000&amp;sourceID=11","1050300000")</f>
        <v>1050300000</v>
      </c>
      <c r="J17" s="4" t="str">
        <f>HYPERLINK("http://141.218.60.56/~jnz1568/getInfo.php?workbook=11_01.xlsx&amp;sheet=A0&amp;row=17&amp;col=10&amp;number=&amp;sourceID=11","")</f>
        <v/>
      </c>
      <c r="K17" s="4" t="str">
        <f>HYPERLINK("http://141.218.60.56/~jnz1568/getInfo.php?workbook=11_01.xlsx&amp;sheet=A0&amp;row=17&amp;col=11&amp;number=180.11&amp;sourceID=11","180.11")</f>
        <v>180.11</v>
      </c>
      <c r="L17" s="4" t="str">
        <f>HYPERLINK("http://141.218.60.56/~jnz1568/getInfo.php?workbook=11_01.xlsx&amp;sheet=A0&amp;row=17&amp;col=12&amp;number=&amp;sourceID=11","")</f>
        <v/>
      </c>
      <c r="M17" s="4" t="str">
        <f>HYPERLINK("http://141.218.60.56/~jnz1568/getInfo.php?workbook=11_01.xlsx&amp;sheet=A0&amp;row=17&amp;col=13&amp;number=&amp;sourceID=11","")</f>
        <v/>
      </c>
      <c r="N17" s="4" t="str">
        <f>HYPERLINK("http://141.218.60.56/~jnz1568/getInfo.php?workbook=11_01.xlsx&amp;sheet=A0&amp;row=17&amp;col=14&amp;number=1050400000&amp;sourceID=12","1050400000")</f>
        <v>1050400000</v>
      </c>
      <c r="O17" s="4" t="str">
        <f>HYPERLINK("http://141.218.60.56/~jnz1568/getInfo.php?workbook=11_01.xlsx&amp;sheet=A0&amp;row=17&amp;col=15&amp;number=&amp;sourceID=12","")</f>
        <v/>
      </c>
      <c r="P17" s="4" t="str">
        <f>HYPERLINK("http://141.218.60.56/~jnz1568/getInfo.php?workbook=11_01.xlsx&amp;sheet=A0&amp;row=17&amp;col=16&amp;number=1050400000&amp;sourceID=12","1050400000")</f>
        <v>1050400000</v>
      </c>
      <c r="Q17" s="4" t="str">
        <f>HYPERLINK("http://141.218.60.56/~jnz1568/getInfo.php?workbook=11_01.xlsx&amp;sheet=A0&amp;row=17&amp;col=17&amp;number=&amp;sourceID=12","")</f>
        <v/>
      </c>
      <c r="R17" s="4" t="str">
        <f>HYPERLINK("http://141.218.60.56/~jnz1568/getInfo.php?workbook=11_01.xlsx&amp;sheet=A0&amp;row=17&amp;col=18&amp;number=180.11&amp;sourceID=12","180.11")</f>
        <v>180.11</v>
      </c>
      <c r="S17" s="4" t="str">
        <f>HYPERLINK("http://141.218.60.56/~jnz1568/getInfo.php?workbook=11_01.xlsx&amp;sheet=A0&amp;row=17&amp;col=19&amp;number=&amp;sourceID=12","")</f>
        <v/>
      </c>
      <c r="T17" s="4" t="str">
        <f>HYPERLINK("http://141.218.60.56/~jnz1568/getInfo.php?workbook=11_01.xlsx&amp;sheet=A0&amp;row=17&amp;col=20&amp;number=&amp;sourceID=12","")</f>
        <v/>
      </c>
      <c r="U17" s="4" t="str">
        <f>HYPERLINK("http://141.218.60.56/~jnz1568/getInfo.php?workbook=11_01.xlsx&amp;sheet=A0&amp;row=17&amp;col=21&amp;number=1050000180.1&amp;sourceID=30","1050000180.1")</f>
        <v>1050000180.1</v>
      </c>
      <c r="V17" s="4" t="str">
        <f>HYPERLINK("http://141.218.60.56/~jnz1568/getInfo.php?workbook=11_01.xlsx&amp;sheet=A0&amp;row=17&amp;col=22&amp;number=&amp;sourceID=30","")</f>
        <v/>
      </c>
      <c r="W17" s="4" t="str">
        <f>HYPERLINK("http://141.218.60.56/~jnz1568/getInfo.php?workbook=11_01.xlsx&amp;sheet=A0&amp;row=17&amp;col=23&amp;number=1050000000&amp;sourceID=30","1050000000")</f>
        <v>1050000000</v>
      </c>
      <c r="X17" s="4" t="str">
        <f>HYPERLINK("http://141.218.60.56/~jnz1568/getInfo.php?workbook=11_01.xlsx&amp;sheet=A0&amp;row=17&amp;col=24&amp;number=180.1&amp;sourceID=30","180.1")</f>
        <v>180.1</v>
      </c>
      <c r="Y17" s="4" t="str">
        <f>HYPERLINK("http://141.218.60.56/~jnz1568/getInfo.php?workbook=11_01.xlsx&amp;sheet=A0&amp;row=17&amp;col=25&amp;number=&amp;sourceID=30","")</f>
        <v/>
      </c>
      <c r="Z17" s="4" t="str">
        <f>HYPERLINK("http://141.218.60.56/~jnz1568/getInfo.php?workbook=11_01.xlsx&amp;sheet=A0&amp;row=17&amp;col=26&amp;number==&amp;sourceID=13","=")</f>
        <v>=</v>
      </c>
      <c r="AA17" s="4" t="str">
        <f>HYPERLINK("http://141.218.60.56/~jnz1568/getInfo.php?workbook=11_01.xlsx&amp;sheet=A0&amp;row=17&amp;col=27&amp;number=&amp;sourceID=13","")</f>
        <v/>
      </c>
      <c r="AB17" s="4" t="str">
        <f>HYPERLINK("http://141.218.60.56/~jnz1568/getInfo.php?workbook=11_01.xlsx&amp;sheet=A0&amp;row=17&amp;col=28&amp;number=1070000000&amp;sourceID=13","1070000000")</f>
        <v>1070000000</v>
      </c>
      <c r="AC17" s="4" t="str">
        <f>HYPERLINK("http://141.218.60.56/~jnz1568/getInfo.php?workbook=11_01.xlsx&amp;sheet=A0&amp;row=17&amp;col=29&amp;number=&amp;sourceID=13","")</f>
        <v/>
      </c>
      <c r="AD17" s="4" t="str">
        <f>HYPERLINK("http://141.218.60.56/~jnz1568/getInfo.php?workbook=11_01.xlsx&amp;sheet=A0&amp;row=17&amp;col=30&amp;number=493&amp;sourceID=13","493")</f>
        <v>493</v>
      </c>
      <c r="AE17" s="4" t="str">
        <f>HYPERLINK("http://141.218.60.56/~jnz1568/getInfo.php?workbook=11_01.xlsx&amp;sheet=A0&amp;row=17&amp;col=31&amp;number=&amp;sourceID=13","")</f>
        <v/>
      </c>
    </row>
    <row r="18" spans="1:31">
      <c r="A18" s="3">
        <v>11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HYPERLINK("http://141.218.60.56/~jnz1568/getInfo.php?workbook=11_01.xlsx&amp;sheet=A0&amp;row=18&amp;col=6&amp;number=&amp;sourceID=18","")</f>
        <v/>
      </c>
      <c r="G18" s="4" t="str">
        <f>HYPERLINK("http://141.218.60.56/~jnz1568/getInfo.php?workbook=11_01.xlsx&amp;sheet=A0&amp;row=18&amp;col=7&amp;number==&amp;sourceID=11","=")</f>
        <v>=</v>
      </c>
      <c r="H18" s="4" t="str">
        <f>HYPERLINK("http://141.218.60.56/~jnz1568/getInfo.php?workbook=11_01.xlsx&amp;sheet=A0&amp;row=18&amp;col=8&amp;number=791340000000&amp;sourceID=11","791340000000")</f>
        <v>791340000000</v>
      </c>
      <c r="I18" s="4" t="str">
        <f>HYPERLINK("http://141.218.60.56/~jnz1568/getInfo.php?workbook=11_01.xlsx&amp;sheet=A0&amp;row=18&amp;col=9&amp;number=&amp;sourceID=11","")</f>
        <v/>
      </c>
      <c r="J18" s="4" t="str">
        <f>HYPERLINK("http://141.218.60.56/~jnz1568/getInfo.php?workbook=11_01.xlsx&amp;sheet=A0&amp;row=18&amp;col=10&amp;number=&amp;sourceID=11","")</f>
        <v/>
      </c>
      <c r="K18" s="4" t="str">
        <f>HYPERLINK("http://141.218.60.56/~jnz1568/getInfo.php?workbook=11_01.xlsx&amp;sheet=A0&amp;row=18&amp;col=11&amp;number=&amp;sourceID=11","")</f>
        <v/>
      </c>
      <c r="L18" s="4" t="str">
        <f>HYPERLINK("http://141.218.60.56/~jnz1568/getInfo.php?workbook=11_01.xlsx&amp;sheet=A0&amp;row=18&amp;col=12&amp;number=1194.2&amp;sourceID=11","1194.2")</f>
        <v>1194.2</v>
      </c>
      <c r="M18" s="4" t="str">
        <f>HYPERLINK("http://141.218.60.56/~jnz1568/getInfo.php?workbook=11_01.xlsx&amp;sheet=A0&amp;row=18&amp;col=13&amp;number=&amp;sourceID=11","")</f>
        <v/>
      </c>
      <c r="N18" s="4" t="str">
        <f>HYPERLINK("http://141.218.60.56/~jnz1568/getInfo.php?workbook=11_01.xlsx&amp;sheet=A0&amp;row=18&amp;col=14&amp;number=791360000000&amp;sourceID=12","791360000000")</f>
        <v>791360000000</v>
      </c>
      <c r="O18" s="4" t="str">
        <f>HYPERLINK("http://141.218.60.56/~jnz1568/getInfo.php?workbook=11_01.xlsx&amp;sheet=A0&amp;row=18&amp;col=15&amp;number=791360000000&amp;sourceID=12","791360000000")</f>
        <v>791360000000</v>
      </c>
      <c r="P18" s="4" t="str">
        <f>HYPERLINK("http://141.218.60.56/~jnz1568/getInfo.php?workbook=11_01.xlsx&amp;sheet=A0&amp;row=18&amp;col=16&amp;number=&amp;sourceID=12","")</f>
        <v/>
      </c>
      <c r="Q18" s="4" t="str">
        <f>HYPERLINK("http://141.218.60.56/~jnz1568/getInfo.php?workbook=11_01.xlsx&amp;sheet=A0&amp;row=18&amp;col=17&amp;number=&amp;sourceID=12","")</f>
        <v/>
      </c>
      <c r="R18" s="4" t="str">
        <f>HYPERLINK("http://141.218.60.56/~jnz1568/getInfo.php?workbook=11_01.xlsx&amp;sheet=A0&amp;row=18&amp;col=18&amp;number=&amp;sourceID=12","")</f>
        <v/>
      </c>
      <c r="S18" s="4" t="str">
        <f>HYPERLINK("http://141.218.60.56/~jnz1568/getInfo.php?workbook=11_01.xlsx&amp;sheet=A0&amp;row=18&amp;col=19&amp;number=1194.2&amp;sourceID=12","1194.2")</f>
        <v>1194.2</v>
      </c>
      <c r="T18" s="4" t="str">
        <f>HYPERLINK("http://141.218.60.56/~jnz1568/getInfo.php?workbook=11_01.xlsx&amp;sheet=A0&amp;row=18&amp;col=20&amp;number=&amp;sourceID=12","")</f>
        <v/>
      </c>
      <c r="U18" s="4" t="str">
        <f>HYPERLINK("http://141.218.60.56/~jnz1568/getInfo.php?workbook=11_01.xlsx&amp;sheet=A0&amp;row=18&amp;col=21&amp;number=791400001194&amp;sourceID=30","791400001194")</f>
        <v>791400001194</v>
      </c>
      <c r="V18" s="4" t="str">
        <f>HYPERLINK("http://141.218.60.56/~jnz1568/getInfo.php?workbook=11_01.xlsx&amp;sheet=A0&amp;row=18&amp;col=22&amp;number=791400000000&amp;sourceID=30","791400000000")</f>
        <v>791400000000</v>
      </c>
      <c r="W18" s="4" t="str">
        <f>HYPERLINK("http://141.218.60.56/~jnz1568/getInfo.php?workbook=11_01.xlsx&amp;sheet=A0&amp;row=18&amp;col=23&amp;number=&amp;sourceID=30","")</f>
        <v/>
      </c>
      <c r="X18" s="4" t="str">
        <f>HYPERLINK("http://141.218.60.56/~jnz1568/getInfo.php?workbook=11_01.xlsx&amp;sheet=A0&amp;row=18&amp;col=24&amp;number=&amp;sourceID=30","")</f>
        <v/>
      </c>
      <c r="Y18" s="4" t="str">
        <f>HYPERLINK("http://141.218.60.56/~jnz1568/getInfo.php?workbook=11_01.xlsx&amp;sheet=A0&amp;row=18&amp;col=25&amp;number=1194&amp;sourceID=30","1194")</f>
        <v>1194</v>
      </c>
      <c r="Z18" s="4" t="str">
        <f>HYPERLINK("http://141.218.60.56/~jnz1568/getInfo.php?workbook=11_01.xlsx&amp;sheet=A0&amp;row=18&amp;col=26&amp;number==&amp;sourceID=13","=")</f>
        <v>=</v>
      </c>
      <c r="AA18" s="4" t="str">
        <f>HYPERLINK("http://141.218.60.56/~jnz1568/getInfo.php?workbook=11_01.xlsx&amp;sheet=A0&amp;row=18&amp;col=27&amp;number=791000000000&amp;sourceID=13","791000000000")</f>
        <v>791000000000</v>
      </c>
      <c r="AB18" s="4" t="str">
        <f>HYPERLINK("http://141.218.60.56/~jnz1568/getInfo.php?workbook=11_01.xlsx&amp;sheet=A0&amp;row=18&amp;col=28&amp;number=&amp;sourceID=13","")</f>
        <v/>
      </c>
      <c r="AC18" s="4" t="str">
        <f>HYPERLINK("http://141.218.60.56/~jnz1568/getInfo.php?workbook=11_01.xlsx&amp;sheet=A0&amp;row=18&amp;col=29&amp;number=&amp;sourceID=13","")</f>
        <v/>
      </c>
      <c r="AD18" s="4" t="str">
        <f>HYPERLINK("http://141.218.60.56/~jnz1568/getInfo.php?workbook=11_01.xlsx&amp;sheet=A0&amp;row=18&amp;col=30&amp;number=&amp;sourceID=13","")</f>
        <v/>
      </c>
      <c r="AE18" s="4" t="str">
        <f>HYPERLINK("http://141.218.60.56/~jnz1568/getInfo.php?workbook=11_01.xlsx&amp;sheet=A0&amp;row=18&amp;col=31&amp;number=&amp;sourceID=13","")</f>
        <v/>
      </c>
    </row>
    <row r="19" spans="1:31">
      <c r="A19" s="3">
        <v>11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HYPERLINK("http://141.218.60.56/~jnz1568/getInfo.php?workbook=11_01.xlsx&amp;sheet=A0&amp;row=19&amp;col=6&amp;number=&amp;sourceID=18","")</f>
        <v/>
      </c>
      <c r="G19" s="4" t="str">
        <f>HYPERLINK("http://141.218.60.56/~jnz1568/getInfo.php?workbook=11_01.xlsx&amp;sheet=A0&amp;row=19&amp;col=7&amp;number==&amp;sourceID=11","=")</f>
        <v>=</v>
      </c>
      <c r="H19" s="4" t="str">
        <f>HYPERLINK("http://141.218.60.56/~jnz1568/getInfo.php?workbook=11_01.xlsx&amp;sheet=A0&amp;row=19&amp;col=8&amp;number=&amp;sourceID=11","")</f>
        <v/>
      </c>
      <c r="I19" s="4" t="str">
        <f>HYPERLINK("http://141.218.60.56/~jnz1568/getInfo.php?workbook=11_01.xlsx&amp;sheet=A0&amp;row=19&amp;col=9&amp;number=91066000&amp;sourceID=11","91066000")</f>
        <v>91066000</v>
      </c>
      <c r="J19" s="4" t="str">
        <f>HYPERLINK("http://141.218.60.56/~jnz1568/getInfo.php?workbook=11_01.xlsx&amp;sheet=A0&amp;row=19&amp;col=10&amp;number=&amp;sourceID=11","")</f>
        <v/>
      </c>
      <c r="K19" s="4" t="str">
        <f>HYPERLINK("http://141.218.60.56/~jnz1568/getInfo.php?workbook=11_01.xlsx&amp;sheet=A0&amp;row=19&amp;col=11&amp;number=2.7521&amp;sourceID=11","2.7521")</f>
        <v>2.7521</v>
      </c>
      <c r="L19" s="4" t="str">
        <f>HYPERLINK("http://141.218.60.56/~jnz1568/getInfo.php?workbook=11_01.xlsx&amp;sheet=A0&amp;row=19&amp;col=12&amp;number=&amp;sourceID=11","")</f>
        <v/>
      </c>
      <c r="M19" s="4" t="str">
        <f>HYPERLINK("http://141.218.60.56/~jnz1568/getInfo.php?workbook=11_01.xlsx&amp;sheet=A0&amp;row=19&amp;col=13&amp;number=&amp;sourceID=11","")</f>
        <v/>
      </c>
      <c r="N19" s="4" t="str">
        <f>HYPERLINK("http://141.218.60.56/~jnz1568/getInfo.php?workbook=11_01.xlsx&amp;sheet=A0&amp;row=19&amp;col=14&amp;number=91068000&amp;sourceID=12","91068000")</f>
        <v>91068000</v>
      </c>
      <c r="O19" s="4" t="str">
        <f>HYPERLINK("http://141.218.60.56/~jnz1568/getInfo.php?workbook=11_01.xlsx&amp;sheet=A0&amp;row=19&amp;col=15&amp;number=&amp;sourceID=12","")</f>
        <v/>
      </c>
      <c r="P19" s="4" t="str">
        <f>HYPERLINK("http://141.218.60.56/~jnz1568/getInfo.php?workbook=11_01.xlsx&amp;sheet=A0&amp;row=19&amp;col=16&amp;number=91068000&amp;sourceID=12","91068000")</f>
        <v>91068000</v>
      </c>
      <c r="Q19" s="4" t="str">
        <f>HYPERLINK("http://141.218.60.56/~jnz1568/getInfo.php?workbook=11_01.xlsx&amp;sheet=A0&amp;row=19&amp;col=17&amp;number=&amp;sourceID=12","")</f>
        <v/>
      </c>
      <c r="R19" s="4" t="str">
        <f>HYPERLINK("http://141.218.60.56/~jnz1568/getInfo.php?workbook=11_01.xlsx&amp;sheet=A0&amp;row=19&amp;col=18&amp;number=2.7522&amp;sourceID=12","2.7522")</f>
        <v>2.7522</v>
      </c>
      <c r="S19" s="4" t="str">
        <f>HYPERLINK("http://141.218.60.56/~jnz1568/getInfo.php?workbook=11_01.xlsx&amp;sheet=A0&amp;row=19&amp;col=19&amp;number=&amp;sourceID=12","")</f>
        <v/>
      </c>
      <c r="T19" s="4" t="str">
        <f>HYPERLINK("http://141.218.60.56/~jnz1568/getInfo.php?workbook=11_01.xlsx&amp;sheet=A0&amp;row=19&amp;col=20&amp;number=&amp;sourceID=12","")</f>
        <v/>
      </c>
      <c r="U19" s="4" t="str">
        <f>HYPERLINK("http://141.218.60.56/~jnz1568/getInfo.php?workbook=11_01.xlsx&amp;sheet=A0&amp;row=19&amp;col=21&amp;number=91070002.752&amp;sourceID=30","91070002.752")</f>
        <v>91070002.752</v>
      </c>
      <c r="V19" s="4" t="str">
        <f>HYPERLINK("http://141.218.60.56/~jnz1568/getInfo.php?workbook=11_01.xlsx&amp;sheet=A0&amp;row=19&amp;col=22&amp;number=&amp;sourceID=30","")</f>
        <v/>
      </c>
      <c r="W19" s="4" t="str">
        <f>HYPERLINK("http://141.218.60.56/~jnz1568/getInfo.php?workbook=11_01.xlsx&amp;sheet=A0&amp;row=19&amp;col=23&amp;number=91070000&amp;sourceID=30","91070000")</f>
        <v>91070000</v>
      </c>
      <c r="X19" s="4" t="str">
        <f>HYPERLINK("http://141.218.60.56/~jnz1568/getInfo.php?workbook=11_01.xlsx&amp;sheet=A0&amp;row=19&amp;col=24&amp;number=2.752&amp;sourceID=30","2.752")</f>
        <v>2.752</v>
      </c>
      <c r="Y19" s="4" t="str">
        <f>HYPERLINK("http://141.218.60.56/~jnz1568/getInfo.php?workbook=11_01.xlsx&amp;sheet=A0&amp;row=19&amp;col=25&amp;number=&amp;sourceID=30","")</f>
        <v/>
      </c>
      <c r="Z19" s="4" t="str">
        <f>HYPERLINK("http://141.218.60.56/~jnz1568/getInfo.php?workbook=11_01.xlsx&amp;sheet=A0&amp;row=19&amp;col=26&amp;number==&amp;sourceID=13","=")</f>
        <v>=</v>
      </c>
      <c r="AA19" s="4" t="str">
        <f>HYPERLINK("http://141.218.60.56/~jnz1568/getInfo.php?workbook=11_01.xlsx&amp;sheet=A0&amp;row=19&amp;col=27&amp;number=&amp;sourceID=13","")</f>
        <v/>
      </c>
      <c r="AB19" s="4" t="str">
        <f>HYPERLINK("http://141.218.60.56/~jnz1568/getInfo.php?workbook=11_01.xlsx&amp;sheet=A0&amp;row=19&amp;col=28&amp;number=91000000&amp;sourceID=13","91000000")</f>
        <v>91000000</v>
      </c>
      <c r="AC19" s="4" t="str">
        <f>HYPERLINK("http://141.218.60.56/~jnz1568/getInfo.php?workbook=11_01.xlsx&amp;sheet=A0&amp;row=19&amp;col=29&amp;number=&amp;sourceID=13","")</f>
        <v/>
      </c>
      <c r="AD19" s="4" t="str">
        <f>HYPERLINK("http://141.218.60.56/~jnz1568/getInfo.php?workbook=11_01.xlsx&amp;sheet=A0&amp;row=19&amp;col=30&amp;number=5.3&amp;sourceID=13","5.3")</f>
        <v>5.3</v>
      </c>
      <c r="AE19" s="4" t="str">
        <f>HYPERLINK("http://141.218.60.56/~jnz1568/getInfo.php?workbook=11_01.xlsx&amp;sheet=A0&amp;row=19&amp;col=31&amp;number=&amp;sourceID=13","")</f>
        <v/>
      </c>
    </row>
    <row r="20" spans="1:31">
      <c r="A20" s="3">
        <v>11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HYPERLINK("http://141.218.60.56/~jnz1568/getInfo.php?workbook=11_01.xlsx&amp;sheet=A0&amp;row=20&amp;col=6&amp;number=&amp;sourceID=18","")</f>
        <v/>
      </c>
      <c r="G20" s="4" t="str">
        <f>HYPERLINK("http://141.218.60.56/~jnz1568/getInfo.php?workbook=11_01.xlsx&amp;sheet=A0&amp;row=20&amp;col=7&amp;number==&amp;sourceID=11","=")</f>
        <v>=</v>
      </c>
      <c r="H20" s="4" t="str">
        <f>HYPERLINK("http://141.218.60.56/~jnz1568/getInfo.php?workbook=11_01.xlsx&amp;sheet=A0&amp;row=20&amp;col=8&amp;number=157770000000&amp;sourceID=11","157770000000")</f>
        <v>157770000000</v>
      </c>
      <c r="I20" s="4" t="str">
        <f>HYPERLINK("http://141.218.60.56/~jnz1568/getInfo.php?workbook=11_01.xlsx&amp;sheet=A0&amp;row=20&amp;col=9&amp;number=&amp;sourceID=11","")</f>
        <v/>
      </c>
      <c r="J20" s="4" t="str">
        <f>HYPERLINK("http://141.218.60.56/~jnz1568/getInfo.php?workbook=11_01.xlsx&amp;sheet=A0&amp;row=20&amp;col=10&amp;number=4846.5&amp;sourceID=11","4846.5")</f>
        <v>4846.5</v>
      </c>
      <c r="K20" s="4" t="str">
        <f>HYPERLINK("http://141.218.60.56/~jnz1568/getInfo.php?workbook=11_01.xlsx&amp;sheet=A0&amp;row=20&amp;col=11&amp;number=&amp;sourceID=11","")</f>
        <v/>
      </c>
      <c r="L20" s="4" t="str">
        <f>HYPERLINK("http://141.218.60.56/~jnz1568/getInfo.php?workbook=11_01.xlsx&amp;sheet=A0&amp;row=20&amp;col=12&amp;number=&amp;sourceID=11","")</f>
        <v/>
      </c>
      <c r="M20" s="4" t="str">
        <f>HYPERLINK("http://141.218.60.56/~jnz1568/getInfo.php?workbook=11_01.xlsx&amp;sheet=A0&amp;row=20&amp;col=13&amp;number=&amp;sourceID=11","")</f>
        <v/>
      </c>
      <c r="N20" s="4" t="str">
        <f>HYPERLINK("http://141.218.60.56/~jnz1568/getInfo.php?workbook=11_01.xlsx&amp;sheet=A0&amp;row=20&amp;col=14&amp;number=157780000000&amp;sourceID=12","157780000000")</f>
        <v>157780000000</v>
      </c>
      <c r="O20" s="4" t="str">
        <f>HYPERLINK("http://141.218.60.56/~jnz1568/getInfo.php?workbook=11_01.xlsx&amp;sheet=A0&amp;row=20&amp;col=15&amp;number=157780000000&amp;sourceID=12","157780000000")</f>
        <v>157780000000</v>
      </c>
      <c r="P20" s="4" t="str">
        <f>HYPERLINK("http://141.218.60.56/~jnz1568/getInfo.php?workbook=11_01.xlsx&amp;sheet=A0&amp;row=20&amp;col=16&amp;number=&amp;sourceID=12","")</f>
        <v/>
      </c>
      <c r="Q20" s="4" t="str">
        <f>HYPERLINK("http://141.218.60.56/~jnz1568/getInfo.php?workbook=11_01.xlsx&amp;sheet=A0&amp;row=20&amp;col=17&amp;number=4846.6&amp;sourceID=12","4846.6")</f>
        <v>4846.6</v>
      </c>
      <c r="R20" s="4" t="str">
        <f>HYPERLINK("http://141.218.60.56/~jnz1568/getInfo.php?workbook=11_01.xlsx&amp;sheet=A0&amp;row=20&amp;col=18&amp;number=&amp;sourceID=12","")</f>
        <v/>
      </c>
      <c r="S20" s="4" t="str">
        <f>HYPERLINK("http://141.218.60.56/~jnz1568/getInfo.php?workbook=11_01.xlsx&amp;sheet=A0&amp;row=20&amp;col=19&amp;number=&amp;sourceID=12","")</f>
        <v/>
      </c>
      <c r="T20" s="4" t="str">
        <f>HYPERLINK("http://141.218.60.56/~jnz1568/getInfo.php?workbook=11_01.xlsx&amp;sheet=A0&amp;row=20&amp;col=20&amp;number=&amp;sourceID=12","")</f>
        <v/>
      </c>
      <c r="U20" s="4" t="str">
        <f>HYPERLINK("http://141.218.60.56/~jnz1568/getInfo.php?workbook=11_01.xlsx&amp;sheet=A0&amp;row=20&amp;col=21&amp;number=157800000000&amp;sourceID=30","157800000000")</f>
        <v>157800000000</v>
      </c>
      <c r="V20" s="4" t="str">
        <f>HYPERLINK("http://141.218.60.56/~jnz1568/getInfo.php?workbook=11_01.xlsx&amp;sheet=A0&amp;row=20&amp;col=22&amp;number=157800000000&amp;sourceID=30","157800000000")</f>
        <v>157800000000</v>
      </c>
      <c r="W20" s="4" t="str">
        <f>HYPERLINK("http://141.218.60.56/~jnz1568/getInfo.php?workbook=11_01.xlsx&amp;sheet=A0&amp;row=20&amp;col=23&amp;number=&amp;sourceID=30","")</f>
        <v/>
      </c>
      <c r="X20" s="4" t="str">
        <f>HYPERLINK("http://141.218.60.56/~jnz1568/getInfo.php?workbook=11_01.xlsx&amp;sheet=A0&amp;row=20&amp;col=24&amp;number=&amp;sourceID=30","")</f>
        <v/>
      </c>
      <c r="Y20" s="4" t="str">
        <f>HYPERLINK("http://141.218.60.56/~jnz1568/getInfo.php?workbook=11_01.xlsx&amp;sheet=A0&amp;row=20&amp;col=25&amp;number=&amp;sourceID=30","")</f>
        <v/>
      </c>
      <c r="Z20" s="4" t="str">
        <f>HYPERLINK("http://141.218.60.56/~jnz1568/getInfo.php?workbook=11_01.xlsx&amp;sheet=A0&amp;row=20&amp;col=26&amp;number==&amp;sourceID=13","=")</f>
        <v>=</v>
      </c>
      <c r="AA20" s="4" t="str">
        <f>HYPERLINK("http://141.218.60.56/~jnz1568/getInfo.php?workbook=11_01.xlsx&amp;sheet=A0&amp;row=20&amp;col=27&amp;number=158000000000&amp;sourceID=13","158000000000")</f>
        <v>158000000000</v>
      </c>
      <c r="AB20" s="4" t="str">
        <f>HYPERLINK("http://141.218.60.56/~jnz1568/getInfo.php?workbook=11_01.xlsx&amp;sheet=A0&amp;row=20&amp;col=28&amp;number=&amp;sourceID=13","")</f>
        <v/>
      </c>
      <c r="AC20" s="4" t="str">
        <f>HYPERLINK("http://141.218.60.56/~jnz1568/getInfo.php?workbook=11_01.xlsx&amp;sheet=A0&amp;row=20&amp;col=29&amp;number=&amp;sourceID=13","")</f>
        <v/>
      </c>
      <c r="AD20" s="4" t="str">
        <f>HYPERLINK("http://141.218.60.56/~jnz1568/getInfo.php?workbook=11_01.xlsx&amp;sheet=A0&amp;row=20&amp;col=30&amp;number=&amp;sourceID=13","")</f>
        <v/>
      </c>
      <c r="AE20" s="4" t="str">
        <f>HYPERLINK("http://141.218.60.56/~jnz1568/getInfo.php?workbook=11_01.xlsx&amp;sheet=A0&amp;row=20&amp;col=31&amp;number=&amp;sourceID=13","")</f>
        <v/>
      </c>
    </row>
    <row r="21" spans="1:31">
      <c r="A21" s="3">
        <v>11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HYPERLINK("http://141.218.60.56/~jnz1568/getInfo.php?workbook=11_01.xlsx&amp;sheet=A0&amp;row=21&amp;col=6&amp;number=&amp;sourceID=18","")</f>
        <v/>
      </c>
      <c r="G21" s="4" t="str">
        <f>HYPERLINK("http://141.218.60.56/~jnz1568/getInfo.php?workbook=11_01.xlsx&amp;sheet=A0&amp;row=21&amp;col=7&amp;number==&amp;sourceID=11","=")</f>
        <v>=</v>
      </c>
      <c r="H21" s="4" t="str">
        <f>HYPERLINK("http://141.218.60.56/~jnz1568/getInfo.php?workbook=11_01.xlsx&amp;sheet=A0&amp;row=21&amp;col=8&amp;number=2273.8&amp;sourceID=11","2273.8")</f>
        <v>2273.8</v>
      </c>
      <c r="I21" s="4" t="str">
        <f>HYPERLINK("http://141.218.60.56/~jnz1568/getInfo.php?workbook=11_01.xlsx&amp;sheet=A0&amp;row=21&amp;col=9&amp;number=&amp;sourceID=11","")</f>
        <v/>
      </c>
      <c r="J21" s="4" t="str">
        <f>HYPERLINK("http://141.218.60.56/~jnz1568/getInfo.php?workbook=11_01.xlsx&amp;sheet=A0&amp;row=21&amp;col=10&amp;number=&amp;sourceID=11","")</f>
        <v/>
      </c>
      <c r="K21" s="4" t="str">
        <f>HYPERLINK("http://141.218.60.56/~jnz1568/getInfo.php?workbook=11_01.xlsx&amp;sheet=A0&amp;row=21&amp;col=11&amp;number=&amp;sourceID=11","")</f>
        <v/>
      </c>
      <c r="L21" s="4" t="str">
        <f>HYPERLINK("http://141.218.60.56/~jnz1568/getInfo.php?workbook=11_01.xlsx&amp;sheet=A0&amp;row=21&amp;col=12&amp;number=2.54e-12&amp;sourceID=11","2.54e-12")</f>
        <v>2.54e-12</v>
      </c>
      <c r="M21" s="4" t="str">
        <f>HYPERLINK("http://141.218.60.56/~jnz1568/getInfo.php?workbook=11_01.xlsx&amp;sheet=A0&amp;row=21&amp;col=13&amp;number=&amp;sourceID=11","")</f>
        <v/>
      </c>
      <c r="N21" s="4" t="str">
        <f>HYPERLINK("http://141.218.60.56/~jnz1568/getInfo.php?workbook=11_01.xlsx&amp;sheet=A0&amp;row=21&amp;col=14&amp;number=2273.9&amp;sourceID=12","2273.9")</f>
        <v>2273.9</v>
      </c>
      <c r="O21" s="4" t="str">
        <f>HYPERLINK("http://141.218.60.56/~jnz1568/getInfo.php?workbook=11_01.xlsx&amp;sheet=A0&amp;row=21&amp;col=15&amp;number=2273.9&amp;sourceID=12","2273.9")</f>
        <v>2273.9</v>
      </c>
      <c r="P21" s="4" t="str">
        <f>HYPERLINK("http://141.218.60.56/~jnz1568/getInfo.php?workbook=11_01.xlsx&amp;sheet=A0&amp;row=21&amp;col=16&amp;number=&amp;sourceID=12","")</f>
        <v/>
      </c>
      <c r="Q21" s="4" t="str">
        <f>HYPERLINK("http://141.218.60.56/~jnz1568/getInfo.php?workbook=11_01.xlsx&amp;sheet=A0&amp;row=21&amp;col=17&amp;number=&amp;sourceID=12","")</f>
        <v/>
      </c>
      <c r="R21" s="4" t="str">
        <f>HYPERLINK("http://141.218.60.56/~jnz1568/getInfo.php?workbook=11_01.xlsx&amp;sheet=A0&amp;row=21&amp;col=18&amp;number=&amp;sourceID=12","")</f>
        <v/>
      </c>
      <c r="S21" s="4" t="str">
        <f>HYPERLINK("http://141.218.60.56/~jnz1568/getInfo.php?workbook=11_01.xlsx&amp;sheet=A0&amp;row=21&amp;col=19&amp;number=2.54e-12&amp;sourceID=12","2.54e-12")</f>
        <v>2.54e-12</v>
      </c>
      <c r="T21" s="4" t="str">
        <f>HYPERLINK("http://141.218.60.56/~jnz1568/getInfo.php?workbook=11_01.xlsx&amp;sheet=A0&amp;row=21&amp;col=20&amp;number=&amp;sourceID=12","")</f>
        <v/>
      </c>
      <c r="U21" s="4" t="str">
        <f>HYPERLINK("http://141.218.60.56/~jnz1568/getInfo.php?workbook=11_01.xlsx&amp;sheet=A0&amp;row=21&amp;col=21&amp;number=2274&amp;sourceID=30","2274")</f>
        <v>2274</v>
      </c>
      <c r="V21" s="4" t="str">
        <f>HYPERLINK("http://141.218.60.56/~jnz1568/getInfo.php?workbook=11_01.xlsx&amp;sheet=A0&amp;row=21&amp;col=22&amp;number=2274&amp;sourceID=30","2274")</f>
        <v>2274</v>
      </c>
      <c r="W21" s="4" t="str">
        <f>HYPERLINK("http://141.218.60.56/~jnz1568/getInfo.php?workbook=11_01.xlsx&amp;sheet=A0&amp;row=21&amp;col=23&amp;number=&amp;sourceID=30","")</f>
        <v/>
      </c>
      <c r="X21" s="4" t="str">
        <f>HYPERLINK("http://141.218.60.56/~jnz1568/getInfo.php?workbook=11_01.xlsx&amp;sheet=A0&amp;row=21&amp;col=24&amp;number=&amp;sourceID=30","")</f>
        <v/>
      </c>
      <c r="Y21" s="4" t="str">
        <f>HYPERLINK("http://141.218.60.56/~jnz1568/getInfo.php?workbook=11_01.xlsx&amp;sheet=A0&amp;row=21&amp;col=25&amp;number=2.54e-12&amp;sourceID=30","2.54e-12")</f>
        <v>2.54e-12</v>
      </c>
      <c r="Z21" s="4" t="str">
        <f>HYPERLINK("http://141.218.60.56/~jnz1568/getInfo.php?workbook=11_01.xlsx&amp;sheet=A0&amp;row=21&amp;col=26&amp;number==&amp;sourceID=13","=")</f>
        <v>=</v>
      </c>
      <c r="AA21" s="4" t="str">
        <f>HYPERLINK("http://141.218.60.56/~jnz1568/getInfo.php?workbook=11_01.xlsx&amp;sheet=A0&amp;row=21&amp;col=27&amp;number=2230&amp;sourceID=13","2230")</f>
        <v>2230</v>
      </c>
      <c r="AB21" s="4" t="str">
        <f>HYPERLINK("http://141.218.60.56/~jnz1568/getInfo.php?workbook=11_01.xlsx&amp;sheet=A0&amp;row=21&amp;col=28&amp;number=&amp;sourceID=13","")</f>
        <v/>
      </c>
      <c r="AC21" s="4" t="str">
        <f>HYPERLINK("http://141.218.60.56/~jnz1568/getInfo.php?workbook=11_01.xlsx&amp;sheet=A0&amp;row=21&amp;col=29&amp;number=&amp;sourceID=13","")</f>
        <v/>
      </c>
      <c r="AD21" s="4" t="str">
        <f>HYPERLINK("http://141.218.60.56/~jnz1568/getInfo.php?workbook=11_01.xlsx&amp;sheet=A0&amp;row=21&amp;col=30&amp;number=&amp;sourceID=13","")</f>
        <v/>
      </c>
      <c r="AE21" s="4" t="str">
        <f>HYPERLINK("http://141.218.60.56/~jnz1568/getInfo.php?workbook=11_01.xlsx&amp;sheet=A0&amp;row=21&amp;col=31&amp;number=&amp;sourceID=13","")</f>
        <v/>
      </c>
    </row>
    <row r="22" spans="1:31">
      <c r="A22" s="3">
        <v>11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HYPERLINK("http://141.218.60.56/~jnz1568/getInfo.php?workbook=11_01.xlsx&amp;sheet=A0&amp;row=22&amp;col=6&amp;number=&amp;sourceID=18","")</f>
        <v/>
      </c>
      <c r="G22" s="4" t="str">
        <f>HYPERLINK("http://141.218.60.56/~jnz1568/getInfo.php?workbook=11_01.xlsx&amp;sheet=A0&amp;row=22&amp;col=7&amp;number==&amp;sourceID=11","=")</f>
        <v>=</v>
      </c>
      <c r="H22" s="4" t="str">
        <f>HYPERLINK("http://141.218.60.56/~jnz1568/getInfo.php?workbook=11_01.xlsx&amp;sheet=A0&amp;row=22&amp;col=8&amp;number=&amp;sourceID=11","")</f>
        <v/>
      </c>
      <c r="I22" s="4" t="str">
        <f>HYPERLINK("http://141.218.60.56/~jnz1568/getInfo.php?workbook=11_01.xlsx&amp;sheet=A0&amp;row=22&amp;col=9&amp;number=3.148e-07&amp;sourceID=11","3.148e-07")</f>
        <v>3.148e-07</v>
      </c>
      <c r="J22" s="4" t="str">
        <f>HYPERLINK("http://141.218.60.56/~jnz1568/getInfo.php?workbook=11_01.xlsx&amp;sheet=A0&amp;row=22&amp;col=10&amp;number=&amp;sourceID=11","")</f>
        <v/>
      </c>
      <c r="K22" s="4" t="str">
        <f>HYPERLINK("http://141.218.60.56/~jnz1568/getInfo.php?workbook=11_01.xlsx&amp;sheet=A0&amp;row=22&amp;col=11&amp;number=1.1717e-10&amp;sourceID=11","1.1717e-10")</f>
        <v>1.1717e-10</v>
      </c>
      <c r="L22" s="4" t="str">
        <f>HYPERLINK("http://141.218.60.56/~jnz1568/getInfo.php?workbook=11_01.xlsx&amp;sheet=A0&amp;row=22&amp;col=12&amp;number=&amp;sourceID=11","")</f>
        <v/>
      </c>
      <c r="M22" s="4" t="str">
        <f>HYPERLINK("http://141.218.60.56/~jnz1568/getInfo.php?workbook=11_01.xlsx&amp;sheet=A0&amp;row=22&amp;col=13&amp;number=&amp;sourceID=11","")</f>
        <v/>
      </c>
      <c r="N22" s="4" t="str">
        <f>HYPERLINK("http://141.218.60.56/~jnz1568/getInfo.php?workbook=11_01.xlsx&amp;sheet=A0&amp;row=22&amp;col=14&amp;number=3.1493e-07&amp;sourceID=12","3.1493e-07")</f>
        <v>3.1493e-07</v>
      </c>
      <c r="O22" s="4" t="str">
        <f>HYPERLINK("http://141.218.60.56/~jnz1568/getInfo.php?workbook=11_01.xlsx&amp;sheet=A0&amp;row=22&amp;col=15&amp;number=&amp;sourceID=12","")</f>
        <v/>
      </c>
      <c r="P22" s="4" t="str">
        <f>HYPERLINK("http://141.218.60.56/~jnz1568/getInfo.php?workbook=11_01.xlsx&amp;sheet=A0&amp;row=22&amp;col=16&amp;number=3.1481e-07&amp;sourceID=12","3.1481e-07")</f>
        <v>3.1481e-07</v>
      </c>
      <c r="Q22" s="4" t="str">
        <f>HYPERLINK("http://141.218.60.56/~jnz1568/getInfo.php?workbook=11_01.xlsx&amp;sheet=A0&amp;row=22&amp;col=17&amp;number=&amp;sourceID=12","")</f>
        <v/>
      </c>
      <c r="R22" s="4" t="str">
        <f>HYPERLINK("http://141.218.60.56/~jnz1568/getInfo.php?workbook=11_01.xlsx&amp;sheet=A0&amp;row=22&amp;col=18&amp;number=1.1717e-10&amp;sourceID=12","1.1717e-10")</f>
        <v>1.1717e-10</v>
      </c>
      <c r="S22" s="4" t="str">
        <f>HYPERLINK("http://141.218.60.56/~jnz1568/getInfo.php?workbook=11_01.xlsx&amp;sheet=A0&amp;row=22&amp;col=19&amp;number=&amp;sourceID=12","")</f>
        <v/>
      </c>
      <c r="T22" s="4" t="str">
        <f>HYPERLINK("http://141.218.60.56/~jnz1568/getInfo.php?workbook=11_01.xlsx&amp;sheet=A0&amp;row=22&amp;col=20&amp;number=&amp;sourceID=12","")</f>
        <v/>
      </c>
      <c r="U22" s="4" t="str">
        <f>HYPERLINK("http://141.218.60.56/~jnz1568/getInfo.php?workbook=11_01.xlsx&amp;sheet=A0&amp;row=22&amp;col=21&amp;number=3.149172e-07&amp;sourceID=30","3.149172e-07")</f>
        <v>3.149172e-07</v>
      </c>
      <c r="V22" s="4" t="str">
        <f>HYPERLINK("http://141.218.60.56/~jnz1568/getInfo.php?workbook=11_01.xlsx&amp;sheet=A0&amp;row=22&amp;col=22&amp;number=&amp;sourceID=30","")</f>
        <v/>
      </c>
      <c r="W22" s="4" t="str">
        <f>HYPERLINK("http://141.218.60.56/~jnz1568/getInfo.php?workbook=11_01.xlsx&amp;sheet=A0&amp;row=22&amp;col=23&amp;number=3.148e-07&amp;sourceID=30","3.148e-07")</f>
        <v>3.148e-07</v>
      </c>
      <c r="X22" s="4" t="str">
        <f>HYPERLINK("http://141.218.60.56/~jnz1568/getInfo.php?workbook=11_01.xlsx&amp;sheet=A0&amp;row=22&amp;col=24&amp;number=1.172e-10&amp;sourceID=30","1.172e-10")</f>
        <v>1.172e-10</v>
      </c>
      <c r="Y22" s="4" t="str">
        <f>HYPERLINK("http://141.218.60.56/~jnz1568/getInfo.php?workbook=11_01.xlsx&amp;sheet=A0&amp;row=22&amp;col=25&amp;number=&amp;sourceID=30","")</f>
        <v/>
      </c>
      <c r="Z22" s="4" t="str">
        <f>HYPERLINK("http://141.218.60.56/~jnz1568/getInfo.php?workbook=11_01.xlsx&amp;sheet=A0&amp;row=22&amp;col=26&amp;number=&amp;sourceID=13","")</f>
        <v/>
      </c>
      <c r="AA22" s="4" t="str">
        <f>HYPERLINK("http://141.218.60.56/~jnz1568/getInfo.php?workbook=11_01.xlsx&amp;sheet=A0&amp;row=22&amp;col=27&amp;number=&amp;sourceID=13","")</f>
        <v/>
      </c>
      <c r="AB22" s="4" t="str">
        <f>HYPERLINK("http://141.218.60.56/~jnz1568/getInfo.php?workbook=11_01.xlsx&amp;sheet=A0&amp;row=22&amp;col=28&amp;number=&amp;sourceID=13","")</f>
        <v/>
      </c>
      <c r="AC22" s="4" t="str">
        <f>HYPERLINK("http://141.218.60.56/~jnz1568/getInfo.php?workbook=11_01.xlsx&amp;sheet=A0&amp;row=22&amp;col=29&amp;number=&amp;sourceID=13","")</f>
        <v/>
      </c>
      <c r="AD22" s="4" t="str">
        <f>HYPERLINK("http://141.218.60.56/~jnz1568/getInfo.php?workbook=11_01.xlsx&amp;sheet=A0&amp;row=22&amp;col=30&amp;number=&amp;sourceID=13","")</f>
        <v/>
      </c>
      <c r="AE22" s="4" t="str">
        <f>HYPERLINK("http://141.218.60.56/~jnz1568/getInfo.php?workbook=11_01.xlsx&amp;sheet=A0&amp;row=22&amp;col=31&amp;number=&amp;sourceID=13","")</f>
        <v/>
      </c>
    </row>
    <row r="23" spans="1:31">
      <c r="A23" s="3">
        <v>11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HYPERLINK("http://141.218.60.56/~jnz1568/getInfo.php?workbook=11_01.xlsx&amp;sheet=A0&amp;row=23&amp;col=6&amp;number=&amp;sourceID=18","")</f>
        <v/>
      </c>
      <c r="G23" s="4" t="str">
        <f>HYPERLINK("http://141.218.60.56/~jnz1568/getInfo.php?workbook=11_01.xlsx&amp;sheet=A0&amp;row=23&amp;col=7&amp;number==&amp;sourceID=11","=")</f>
        <v>=</v>
      </c>
      <c r="H23" s="4" t="str">
        <f>HYPERLINK("http://141.218.60.56/~jnz1568/getInfo.php?workbook=11_01.xlsx&amp;sheet=A0&amp;row=23&amp;col=8&amp;number=2448300000000&amp;sourceID=11","2448300000000")</f>
        <v>2448300000000</v>
      </c>
      <c r="I23" s="4" t="str">
        <f>HYPERLINK("http://141.218.60.56/~jnz1568/getInfo.php?workbook=11_01.xlsx&amp;sheet=A0&amp;row=23&amp;col=9&amp;number=&amp;sourceID=11","")</f>
        <v/>
      </c>
      <c r="J23" s="4" t="str">
        <f>HYPERLINK("http://141.218.60.56/~jnz1568/getInfo.php?workbook=11_01.xlsx&amp;sheet=A0&amp;row=23&amp;col=10&amp;number=&amp;sourceID=11","")</f>
        <v/>
      </c>
      <c r="K23" s="4" t="str">
        <f>HYPERLINK("http://141.218.60.56/~jnz1568/getInfo.php?workbook=11_01.xlsx&amp;sheet=A0&amp;row=23&amp;col=11&amp;number=&amp;sourceID=11","")</f>
        <v/>
      </c>
      <c r="L23" s="4" t="str">
        <f>HYPERLINK("http://141.218.60.56/~jnz1568/getInfo.php?workbook=11_01.xlsx&amp;sheet=A0&amp;row=23&amp;col=12&amp;number=3772000&amp;sourceID=11","3772000")</f>
        <v>3772000</v>
      </c>
      <c r="M23" s="4" t="str">
        <f>HYPERLINK("http://141.218.60.56/~jnz1568/getInfo.php?workbook=11_01.xlsx&amp;sheet=A0&amp;row=23&amp;col=13&amp;number=&amp;sourceID=11","")</f>
        <v/>
      </c>
      <c r="N23" s="4" t="str">
        <f>HYPERLINK("http://141.218.60.56/~jnz1568/getInfo.php?workbook=11_01.xlsx&amp;sheet=A0&amp;row=23&amp;col=14&amp;number=2448400000000&amp;sourceID=12","2448400000000")</f>
        <v>2448400000000</v>
      </c>
      <c r="O23" s="4" t="str">
        <f>HYPERLINK("http://141.218.60.56/~jnz1568/getInfo.php?workbook=11_01.xlsx&amp;sheet=A0&amp;row=23&amp;col=15&amp;number=2448400000000&amp;sourceID=12","2448400000000")</f>
        <v>2448400000000</v>
      </c>
      <c r="P23" s="4" t="str">
        <f>HYPERLINK("http://141.218.60.56/~jnz1568/getInfo.php?workbook=11_01.xlsx&amp;sheet=A0&amp;row=23&amp;col=16&amp;number=&amp;sourceID=12","")</f>
        <v/>
      </c>
      <c r="Q23" s="4" t="str">
        <f>HYPERLINK("http://141.218.60.56/~jnz1568/getInfo.php?workbook=11_01.xlsx&amp;sheet=A0&amp;row=23&amp;col=17&amp;number=&amp;sourceID=12","")</f>
        <v/>
      </c>
      <c r="R23" s="4" t="str">
        <f>HYPERLINK("http://141.218.60.56/~jnz1568/getInfo.php?workbook=11_01.xlsx&amp;sheet=A0&amp;row=23&amp;col=18&amp;number=&amp;sourceID=12","")</f>
        <v/>
      </c>
      <c r="S23" s="4" t="str">
        <f>HYPERLINK("http://141.218.60.56/~jnz1568/getInfo.php?workbook=11_01.xlsx&amp;sheet=A0&amp;row=23&amp;col=19&amp;number=3772100&amp;sourceID=12","3772100")</f>
        <v>3772100</v>
      </c>
      <c r="T23" s="4" t="str">
        <f>HYPERLINK("http://141.218.60.56/~jnz1568/getInfo.php?workbook=11_01.xlsx&amp;sheet=A0&amp;row=23&amp;col=20&amp;number=&amp;sourceID=12","")</f>
        <v/>
      </c>
      <c r="U23" s="4" t="str">
        <f>HYPERLINK("http://141.218.60.56/~jnz1568/getInfo.php?workbook=11_01.xlsx&amp;sheet=A0&amp;row=23&amp;col=21&amp;number=2448003772000&amp;sourceID=30","2448003772000")</f>
        <v>2448003772000</v>
      </c>
      <c r="V23" s="4" t="str">
        <f>HYPERLINK("http://141.218.60.56/~jnz1568/getInfo.php?workbook=11_01.xlsx&amp;sheet=A0&amp;row=23&amp;col=22&amp;number=2448000000000&amp;sourceID=30","2448000000000")</f>
        <v>2448000000000</v>
      </c>
      <c r="W23" s="4" t="str">
        <f>HYPERLINK("http://141.218.60.56/~jnz1568/getInfo.php?workbook=11_01.xlsx&amp;sheet=A0&amp;row=23&amp;col=23&amp;number=&amp;sourceID=30","")</f>
        <v/>
      </c>
      <c r="X23" s="4" t="str">
        <f>HYPERLINK("http://141.218.60.56/~jnz1568/getInfo.php?workbook=11_01.xlsx&amp;sheet=A0&amp;row=23&amp;col=24&amp;number=&amp;sourceID=30","")</f>
        <v/>
      </c>
      <c r="Y23" s="4" t="str">
        <f>HYPERLINK("http://141.218.60.56/~jnz1568/getInfo.php?workbook=11_01.xlsx&amp;sheet=A0&amp;row=23&amp;col=25&amp;number=3772000&amp;sourceID=30","3772000")</f>
        <v>3772000</v>
      </c>
      <c r="Z23" s="4" t="str">
        <f>HYPERLINK("http://141.218.60.56/~jnz1568/getInfo.php?workbook=11_01.xlsx&amp;sheet=A0&amp;row=23&amp;col=26&amp;number==SUM(AA23:AE23)&amp;sourceID=13","=SUM(AA23:AE23)")</f>
        <v>=SUM(AA23:AE23)</v>
      </c>
      <c r="AA23" s="4" t="str">
        <f>HYPERLINK("http://141.218.60.56/~jnz1568/getInfo.php?workbook=11_01.xlsx&amp;sheet=A0&amp;row=23&amp;col=27&amp;number=2430000000000&amp;sourceID=13","2430000000000")</f>
        <v>2430000000000</v>
      </c>
      <c r="AB23" s="4" t="str">
        <f>HYPERLINK("http://141.218.60.56/~jnz1568/getInfo.php?workbook=11_01.xlsx&amp;sheet=A0&amp;row=23&amp;col=28&amp;number=&amp;sourceID=13","")</f>
        <v/>
      </c>
      <c r="AC23" s="4" t="str">
        <f>HYPERLINK("http://141.218.60.56/~jnz1568/getInfo.php?workbook=11_01.xlsx&amp;sheet=A0&amp;row=23&amp;col=29&amp;number=&amp;sourceID=13","")</f>
        <v/>
      </c>
      <c r="AD23" s="4" t="str">
        <f>HYPERLINK("http://141.218.60.56/~jnz1568/getInfo.php?workbook=11_01.xlsx&amp;sheet=A0&amp;row=23&amp;col=30&amp;number=&amp;sourceID=13","")</f>
        <v/>
      </c>
      <c r="AE23" s="4" t="str">
        <f>HYPERLINK("http://141.218.60.56/~jnz1568/getInfo.php?workbook=11_01.xlsx&amp;sheet=A0&amp;row=23&amp;col=31&amp;number=&amp;sourceID=13","")</f>
        <v/>
      </c>
    </row>
    <row r="24" spans="1:31">
      <c r="A24" s="3">
        <v>11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HYPERLINK("http://141.218.60.56/~jnz1568/getInfo.php?workbook=11_01.xlsx&amp;sheet=A0&amp;row=24&amp;col=6&amp;number=&amp;sourceID=18","")</f>
        <v/>
      </c>
      <c r="G24" s="4" t="str">
        <f>HYPERLINK("http://141.218.60.56/~jnz1568/getInfo.php?workbook=11_01.xlsx&amp;sheet=A0&amp;row=24&amp;col=7&amp;number==&amp;sourceID=11","=")</f>
        <v>=</v>
      </c>
      <c r="H24" s="4" t="str">
        <f>HYPERLINK("http://141.218.60.56/~jnz1568/getInfo.php?workbook=11_01.xlsx&amp;sheet=A0&amp;row=24&amp;col=8&amp;number=&amp;sourceID=11","")</f>
        <v/>
      </c>
      <c r="I24" s="4" t="str">
        <f>HYPERLINK("http://141.218.60.56/~jnz1568/getInfo.php?workbook=11_01.xlsx&amp;sheet=A0&amp;row=24&amp;col=9&amp;number=21248000&amp;sourceID=11","21248000")</f>
        <v>21248000</v>
      </c>
      <c r="J24" s="4" t="str">
        <f>HYPERLINK("http://141.218.60.56/~jnz1568/getInfo.php?workbook=11_01.xlsx&amp;sheet=A0&amp;row=24&amp;col=10&amp;number=&amp;sourceID=11","")</f>
        <v/>
      </c>
      <c r="K24" s="4" t="str">
        <f>HYPERLINK("http://141.218.60.56/~jnz1568/getInfo.php?workbook=11_01.xlsx&amp;sheet=A0&amp;row=24&amp;col=11&amp;number=88.748&amp;sourceID=11","88.748")</f>
        <v>88.748</v>
      </c>
      <c r="L24" s="4" t="str">
        <f>HYPERLINK("http://141.218.60.56/~jnz1568/getInfo.php?workbook=11_01.xlsx&amp;sheet=A0&amp;row=24&amp;col=12&amp;number=&amp;sourceID=11","")</f>
        <v/>
      </c>
      <c r="M24" s="4" t="str">
        <f>HYPERLINK("http://141.218.60.56/~jnz1568/getInfo.php?workbook=11_01.xlsx&amp;sheet=A0&amp;row=24&amp;col=13&amp;number=&amp;sourceID=11","")</f>
        <v/>
      </c>
      <c r="N24" s="4" t="str">
        <f>HYPERLINK("http://141.218.60.56/~jnz1568/getInfo.php?workbook=11_01.xlsx&amp;sheet=A0&amp;row=24&amp;col=14&amp;number=21248000&amp;sourceID=12","21248000")</f>
        <v>21248000</v>
      </c>
      <c r="O24" s="4" t="str">
        <f>HYPERLINK("http://141.218.60.56/~jnz1568/getInfo.php?workbook=11_01.xlsx&amp;sheet=A0&amp;row=24&amp;col=15&amp;number=&amp;sourceID=12","")</f>
        <v/>
      </c>
      <c r="P24" s="4" t="str">
        <f>HYPERLINK("http://141.218.60.56/~jnz1568/getInfo.php?workbook=11_01.xlsx&amp;sheet=A0&amp;row=24&amp;col=16&amp;number=21248000&amp;sourceID=12","21248000")</f>
        <v>21248000</v>
      </c>
      <c r="Q24" s="4" t="str">
        <f>HYPERLINK("http://141.218.60.56/~jnz1568/getInfo.php?workbook=11_01.xlsx&amp;sheet=A0&amp;row=24&amp;col=17&amp;number=&amp;sourceID=12","")</f>
        <v/>
      </c>
      <c r="R24" s="4" t="str">
        <f>HYPERLINK("http://141.218.60.56/~jnz1568/getInfo.php?workbook=11_01.xlsx&amp;sheet=A0&amp;row=24&amp;col=18&amp;number=88.75&amp;sourceID=12","88.75")</f>
        <v>88.75</v>
      </c>
      <c r="S24" s="4" t="str">
        <f>HYPERLINK("http://141.218.60.56/~jnz1568/getInfo.php?workbook=11_01.xlsx&amp;sheet=A0&amp;row=24&amp;col=19&amp;number=&amp;sourceID=12","")</f>
        <v/>
      </c>
      <c r="T24" s="4" t="str">
        <f>HYPERLINK("http://141.218.60.56/~jnz1568/getInfo.php?workbook=11_01.xlsx&amp;sheet=A0&amp;row=24&amp;col=20&amp;number=&amp;sourceID=12","")</f>
        <v/>
      </c>
      <c r="U24" s="4" t="str">
        <f>HYPERLINK("http://141.218.60.56/~jnz1568/getInfo.php?workbook=11_01.xlsx&amp;sheet=A0&amp;row=24&amp;col=21&amp;number=21250088.75&amp;sourceID=30","21250088.75")</f>
        <v>21250088.75</v>
      </c>
      <c r="V24" s="4" t="str">
        <f>HYPERLINK("http://141.218.60.56/~jnz1568/getInfo.php?workbook=11_01.xlsx&amp;sheet=A0&amp;row=24&amp;col=22&amp;number=&amp;sourceID=30","")</f>
        <v/>
      </c>
      <c r="W24" s="4" t="str">
        <f>HYPERLINK("http://141.218.60.56/~jnz1568/getInfo.php?workbook=11_01.xlsx&amp;sheet=A0&amp;row=24&amp;col=23&amp;number=21250000&amp;sourceID=30","21250000")</f>
        <v>21250000</v>
      </c>
      <c r="X24" s="4" t="str">
        <f>HYPERLINK("http://141.218.60.56/~jnz1568/getInfo.php?workbook=11_01.xlsx&amp;sheet=A0&amp;row=24&amp;col=24&amp;number=88.75&amp;sourceID=30","88.75")</f>
        <v>88.75</v>
      </c>
      <c r="Y24" s="4" t="str">
        <f>HYPERLINK("http://141.218.60.56/~jnz1568/getInfo.php?workbook=11_01.xlsx&amp;sheet=A0&amp;row=24&amp;col=25&amp;number=&amp;sourceID=30","")</f>
        <v/>
      </c>
      <c r="Z24" s="4" t="str">
        <f>HYPERLINK("http://141.218.60.56/~jnz1568/getInfo.php?workbook=11_01.xlsx&amp;sheet=A0&amp;row=24&amp;col=26&amp;number==&amp;sourceID=13","=")</f>
        <v>=</v>
      </c>
      <c r="AA24" s="4" t="str">
        <f>HYPERLINK("http://141.218.60.56/~jnz1568/getInfo.php?workbook=11_01.xlsx&amp;sheet=A0&amp;row=24&amp;col=27&amp;number=&amp;sourceID=13","")</f>
        <v/>
      </c>
      <c r="AB24" s="4" t="str">
        <f>HYPERLINK("http://141.218.60.56/~jnz1568/getInfo.php?workbook=11_01.xlsx&amp;sheet=A0&amp;row=24&amp;col=28&amp;number=21100000&amp;sourceID=13","21100000")</f>
        <v>21100000</v>
      </c>
      <c r="AC24" s="4" t="str">
        <f>HYPERLINK("http://141.218.60.56/~jnz1568/getInfo.php?workbook=11_01.xlsx&amp;sheet=A0&amp;row=24&amp;col=29&amp;number=&amp;sourceID=13","")</f>
        <v/>
      </c>
      <c r="AD24" s="4" t="str">
        <f>HYPERLINK("http://141.218.60.56/~jnz1568/getInfo.php?workbook=11_01.xlsx&amp;sheet=A0&amp;row=24&amp;col=30&amp;number=76.7&amp;sourceID=13","76.7")</f>
        <v>76.7</v>
      </c>
      <c r="AE24" s="4" t="str">
        <f>HYPERLINK("http://141.218.60.56/~jnz1568/getInfo.php?workbook=11_01.xlsx&amp;sheet=A0&amp;row=24&amp;col=31&amp;number=&amp;sourceID=13","")</f>
        <v/>
      </c>
    </row>
    <row r="25" spans="1:31">
      <c r="A25" s="3">
        <v>11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HYPERLINK("http://141.218.60.56/~jnz1568/getInfo.php?workbook=11_01.xlsx&amp;sheet=A0&amp;row=25&amp;col=6&amp;number=&amp;sourceID=18","")</f>
        <v/>
      </c>
      <c r="G25" s="4" t="str">
        <f>HYPERLINK("http://141.218.60.56/~jnz1568/getInfo.php?workbook=11_01.xlsx&amp;sheet=A0&amp;row=25&amp;col=7&amp;number==&amp;sourceID=11","=")</f>
        <v>=</v>
      </c>
      <c r="H25" s="4" t="str">
        <f>HYPERLINK("http://141.218.60.56/~jnz1568/getInfo.php?workbook=11_01.xlsx&amp;sheet=A0&amp;row=25&amp;col=8&amp;number=328310000000&amp;sourceID=11","328310000000")</f>
        <v>328310000000</v>
      </c>
      <c r="I25" s="4" t="str">
        <f>HYPERLINK("http://141.218.60.56/~jnz1568/getInfo.php?workbook=11_01.xlsx&amp;sheet=A0&amp;row=25&amp;col=9&amp;number=&amp;sourceID=11","")</f>
        <v/>
      </c>
      <c r="J25" s="4" t="str">
        <f>HYPERLINK("http://141.218.60.56/~jnz1568/getInfo.php?workbook=11_01.xlsx&amp;sheet=A0&amp;row=25&amp;col=10&amp;number=&amp;sourceID=11","")</f>
        <v/>
      </c>
      <c r="K25" s="4" t="str">
        <f>HYPERLINK("http://141.218.60.56/~jnz1568/getInfo.php?workbook=11_01.xlsx&amp;sheet=A0&amp;row=25&amp;col=11&amp;number=&amp;sourceID=11","")</f>
        <v/>
      </c>
      <c r="L25" s="4" t="str">
        <f>HYPERLINK("http://141.218.60.56/~jnz1568/getInfo.php?workbook=11_01.xlsx&amp;sheet=A0&amp;row=25&amp;col=12&amp;number=12406&amp;sourceID=11","12406")</f>
        <v>12406</v>
      </c>
      <c r="M25" s="4" t="str">
        <f>HYPERLINK("http://141.218.60.56/~jnz1568/getInfo.php?workbook=11_01.xlsx&amp;sheet=A0&amp;row=25&amp;col=13&amp;number=&amp;sourceID=11","")</f>
        <v/>
      </c>
      <c r="N25" s="4" t="str">
        <f>HYPERLINK("http://141.218.60.56/~jnz1568/getInfo.php?workbook=11_01.xlsx&amp;sheet=A0&amp;row=25&amp;col=14&amp;number=328320000000&amp;sourceID=12","328320000000")</f>
        <v>328320000000</v>
      </c>
      <c r="O25" s="4" t="str">
        <f>HYPERLINK("http://141.218.60.56/~jnz1568/getInfo.php?workbook=11_01.xlsx&amp;sheet=A0&amp;row=25&amp;col=15&amp;number=328320000000&amp;sourceID=12","328320000000")</f>
        <v>328320000000</v>
      </c>
      <c r="P25" s="4" t="str">
        <f>HYPERLINK("http://141.218.60.56/~jnz1568/getInfo.php?workbook=11_01.xlsx&amp;sheet=A0&amp;row=25&amp;col=16&amp;number=&amp;sourceID=12","")</f>
        <v/>
      </c>
      <c r="Q25" s="4" t="str">
        <f>HYPERLINK("http://141.218.60.56/~jnz1568/getInfo.php?workbook=11_01.xlsx&amp;sheet=A0&amp;row=25&amp;col=17&amp;number=&amp;sourceID=12","")</f>
        <v/>
      </c>
      <c r="R25" s="4" t="str">
        <f>HYPERLINK("http://141.218.60.56/~jnz1568/getInfo.php?workbook=11_01.xlsx&amp;sheet=A0&amp;row=25&amp;col=18&amp;number=&amp;sourceID=12","")</f>
        <v/>
      </c>
      <c r="S25" s="4" t="str">
        <f>HYPERLINK("http://141.218.60.56/~jnz1568/getInfo.php?workbook=11_01.xlsx&amp;sheet=A0&amp;row=25&amp;col=19&amp;number=12406&amp;sourceID=12","12406")</f>
        <v>12406</v>
      </c>
      <c r="T25" s="4" t="str">
        <f>HYPERLINK("http://141.218.60.56/~jnz1568/getInfo.php?workbook=11_01.xlsx&amp;sheet=A0&amp;row=25&amp;col=20&amp;number=&amp;sourceID=12","")</f>
        <v/>
      </c>
      <c r="U25" s="4" t="str">
        <f>HYPERLINK("http://141.218.60.56/~jnz1568/getInfo.php?workbook=11_01.xlsx&amp;sheet=A0&amp;row=25&amp;col=21&amp;number=328300012410&amp;sourceID=30","328300012410")</f>
        <v>328300012410</v>
      </c>
      <c r="V25" s="4" t="str">
        <f>HYPERLINK("http://141.218.60.56/~jnz1568/getInfo.php?workbook=11_01.xlsx&amp;sheet=A0&amp;row=25&amp;col=22&amp;number=328300000000&amp;sourceID=30","328300000000")</f>
        <v>328300000000</v>
      </c>
      <c r="W25" s="4" t="str">
        <f>HYPERLINK("http://141.218.60.56/~jnz1568/getInfo.php?workbook=11_01.xlsx&amp;sheet=A0&amp;row=25&amp;col=23&amp;number=&amp;sourceID=30","")</f>
        <v/>
      </c>
      <c r="X25" s="4" t="str">
        <f>HYPERLINK("http://141.218.60.56/~jnz1568/getInfo.php?workbook=11_01.xlsx&amp;sheet=A0&amp;row=25&amp;col=24&amp;number=&amp;sourceID=30","")</f>
        <v/>
      </c>
      <c r="Y25" s="4" t="str">
        <f>HYPERLINK("http://141.218.60.56/~jnz1568/getInfo.php?workbook=11_01.xlsx&amp;sheet=A0&amp;row=25&amp;col=25&amp;number=12410&amp;sourceID=30","12410")</f>
        <v>12410</v>
      </c>
      <c r="Z25" s="4" t="str">
        <f>HYPERLINK("http://141.218.60.56/~jnz1568/getInfo.php?workbook=11_01.xlsx&amp;sheet=A0&amp;row=25&amp;col=26&amp;number==&amp;sourceID=13","=")</f>
        <v>=</v>
      </c>
      <c r="AA25" s="4" t="str">
        <f>HYPERLINK("http://141.218.60.56/~jnz1568/getInfo.php?workbook=11_01.xlsx&amp;sheet=A0&amp;row=25&amp;col=27&amp;number=327000000000&amp;sourceID=13","327000000000")</f>
        <v>327000000000</v>
      </c>
      <c r="AB25" s="4" t="str">
        <f>HYPERLINK("http://141.218.60.56/~jnz1568/getInfo.php?workbook=11_01.xlsx&amp;sheet=A0&amp;row=25&amp;col=28&amp;number=&amp;sourceID=13","")</f>
        <v/>
      </c>
      <c r="AC25" s="4" t="str">
        <f>HYPERLINK("http://141.218.60.56/~jnz1568/getInfo.php?workbook=11_01.xlsx&amp;sheet=A0&amp;row=25&amp;col=29&amp;number=&amp;sourceID=13","")</f>
        <v/>
      </c>
      <c r="AD25" s="4" t="str">
        <f>HYPERLINK("http://141.218.60.56/~jnz1568/getInfo.php?workbook=11_01.xlsx&amp;sheet=A0&amp;row=25&amp;col=30&amp;number=&amp;sourceID=13","")</f>
        <v/>
      </c>
      <c r="AE25" s="4" t="str">
        <f>HYPERLINK("http://141.218.60.56/~jnz1568/getInfo.php?workbook=11_01.xlsx&amp;sheet=A0&amp;row=25&amp;col=31&amp;number=&amp;sourceID=13","")</f>
        <v/>
      </c>
    </row>
    <row r="26" spans="1:31">
      <c r="A26" s="3">
        <v>11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HYPERLINK("http://141.218.60.56/~jnz1568/getInfo.php?workbook=11_01.xlsx&amp;sheet=A0&amp;row=26&amp;col=6&amp;number=&amp;sourceID=18","")</f>
        <v/>
      </c>
      <c r="G26" s="4" t="str">
        <f>HYPERLINK("http://141.218.60.56/~jnz1568/getInfo.php?workbook=11_01.xlsx&amp;sheet=A0&amp;row=26&amp;col=7&amp;number==&amp;sourceID=11","=")</f>
        <v>=</v>
      </c>
      <c r="H26" s="4" t="str">
        <f>HYPERLINK("http://141.218.60.56/~jnz1568/getInfo.php?workbook=11_01.xlsx&amp;sheet=A0&amp;row=26&amp;col=8&amp;number=&amp;sourceID=11","")</f>
        <v/>
      </c>
      <c r="I26" s="4" t="str">
        <f>HYPERLINK("http://141.218.60.56/~jnz1568/getInfo.php?workbook=11_01.xlsx&amp;sheet=A0&amp;row=26&amp;col=9&amp;number=21181000&amp;sourceID=11","21181000")</f>
        <v>21181000</v>
      </c>
      <c r="J26" s="4" t="str">
        <f>HYPERLINK("http://141.218.60.56/~jnz1568/getInfo.php?workbook=11_01.xlsx&amp;sheet=A0&amp;row=26&amp;col=10&amp;number=&amp;sourceID=11","")</f>
        <v/>
      </c>
      <c r="K26" s="4" t="str">
        <f>HYPERLINK("http://141.218.60.56/~jnz1568/getInfo.php?workbook=11_01.xlsx&amp;sheet=A0&amp;row=26&amp;col=11&amp;number=91.752&amp;sourceID=11","91.752")</f>
        <v>91.752</v>
      </c>
      <c r="L26" s="4" t="str">
        <f>HYPERLINK("http://141.218.60.56/~jnz1568/getInfo.php?workbook=11_01.xlsx&amp;sheet=A0&amp;row=26&amp;col=12&amp;number=&amp;sourceID=11","")</f>
        <v/>
      </c>
      <c r="M26" s="4" t="str">
        <f>HYPERLINK("http://141.218.60.56/~jnz1568/getInfo.php?workbook=11_01.xlsx&amp;sheet=A0&amp;row=26&amp;col=13&amp;number=1.6976&amp;sourceID=11","1.6976")</f>
        <v>1.6976</v>
      </c>
      <c r="N26" s="4" t="str">
        <f>HYPERLINK("http://141.218.60.56/~jnz1568/getInfo.php?workbook=11_01.xlsx&amp;sheet=A0&amp;row=26&amp;col=14&amp;number=21182000&amp;sourceID=12","21182000")</f>
        <v>21182000</v>
      </c>
      <c r="O26" s="4" t="str">
        <f>HYPERLINK("http://141.218.60.56/~jnz1568/getInfo.php?workbook=11_01.xlsx&amp;sheet=A0&amp;row=26&amp;col=15&amp;number=&amp;sourceID=12","")</f>
        <v/>
      </c>
      <c r="P26" s="4" t="str">
        <f>HYPERLINK("http://141.218.60.56/~jnz1568/getInfo.php?workbook=11_01.xlsx&amp;sheet=A0&amp;row=26&amp;col=16&amp;number=21182000&amp;sourceID=12","21182000")</f>
        <v>21182000</v>
      </c>
      <c r="Q26" s="4" t="str">
        <f>HYPERLINK("http://141.218.60.56/~jnz1568/getInfo.php?workbook=11_01.xlsx&amp;sheet=A0&amp;row=26&amp;col=17&amp;number=&amp;sourceID=12","")</f>
        <v/>
      </c>
      <c r="R26" s="4" t="str">
        <f>HYPERLINK("http://141.218.60.56/~jnz1568/getInfo.php?workbook=11_01.xlsx&amp;sheet=A0&amp;row=26&amp;col=18&amp;number=91.755&amp;sourceID=12","91.755")</f>
        <v>91.755</v>
      </c>
      <c r="S26" s="4" t="str">
        <f>HYPERLINK("http://141.218.60.56/~jnz1568/getInfo.php?workbook=11_01.xlsx&amp;sheet=A0&amp;row=26&amp;col=19&amp;number=&amp;sourceID=12","")</f>
        <v/>
      </c>
      <c r="T26" s="4" t="str">
        <f>HYPERLINK("http://141.218.60.56/~jnz1568/getInfo.php?workbook=11_01.xlsx&amp;sheet=A0&amp;row=26&amp;col=20&amp;number=1.6977&amp;sourceID=12","1.6977")</f>
        <v>1.6977</v>
      </c>
      <c r="U26" s="4" t="str">
        <f>HYPERLINK("http://141.218.60.56/~jnz1568/getInfo.php?workbook=11_01.xlsx&amp;sheet=A0&amp;row=26&amp;col=21&amp;number=21180091.75&amp;sourceID=30","21180091.75")</f>
        <v>21180091.75</v>
      </c>
      <c r="V26" s="4" t="str">
        <f>HYPERLINK("http://141.218.60.56/~jnz1568/getInfo.php?workbook=11_01.xlsx&amp;sheet=A0&amp;row=26&amp;col=22&amp;number=&amp;sourceID=30","")</f>
        <v/>
      </c>
      <c r="W26" s="4" t="str">
        <f>HYPERLINK("http://141.218.60.56/~jnz1568/getInfo.php?workbook=11_01.xlsx&amp;sheet=A0&amp;row=26&amp;col=23&amp;number=21180000&amp;sourceID=30","21180000")</f>
        <v>21180000</v>
      </c>
      <c r="X26" s="4" t="str">
        <f>HYPERLINK("http://141.218.60.56/~jnz1568/getInfo.php?workbook=11_01.xlsx&amp;sheet=A0&amp;row=26&amp;col=24&amp;number=91.75&amp;sourceID=30","91.75")</f>
        <v>91.75</v>
      </c>
      <c r="Y26" s="4" t="str">
        <f>HYPERLINK("http://141.218.60.56/~jnz1568/getInfo.php?workbook=11_01.xlsx&amp;sheet=A0&amp;row=26&amp;col=25&amp;number=&amp;sourceID=30","")</f>
        <v/>
      </c>
      <c r="Z26" s="4" t="str">
        <f>HYPERLINK("http://141.218.60.56/~jnz1568/getInfo.php?workbook=11_01.xlsx&amp;sheet=A0&amp;row=26&amp;col=26&amp;number==&amp;sourceID=13","=")</f>
        <v>=</v>
      </c>
      <c r="AA26" s="4" t="str">
        <f>HYPERLINK("http://141.218.60.56/~jnz1568/getInfo.php?workbook=11_01.xlsx&amp;sheet=A0&amp;row=26&amp;col=27&amp;number=&amp;sourceID=13","")</f>
        <v/>
      </c>
      <c r="AB26" s="4" t="str">
        <f>HYPERLINK("http://141.218.60.56/~jnz1568/getInfo.php?workbook=11_01.xlsx&amp;sheet=A0&amp;row=26&amp;col=28&amp;number=21100000&amp;sourceID=13","21100000")</f>
        <v>21100000</v>
      </c>
      <c r="AC26" s="4" t="str">
        <f>HYPERLINK("http://141.218.60.56/~jnz1568/getInfo.php?workbook=11_01.xlsx&amp;sheet=A0&amp;row=26&amp;col=29&amp;number=&amp;sourceID=13","")</f>
        <v/>
      </c>
      <c r="AD26" s="4" t="str">
        <f>HYPERLINK("http://141.218.60.56/~jnz1568/getInfo.php?workbook=11_01.xlsx&amp;sheet=A0&amp;row=26&amp;col=30&amp;number=91.8&amp;sourceID=13","91.8")</f>
        <v>91.8</v>
      </c>
      <c r="AE26" s="4" t="str">
        <f>HYPERLINK("http://141.218.60.56/~jnz1568/getInfo.php?workbook=11_01.xlsx&amp;sheet=A0&amp;row=26&amp;col=31&amp;number=&amp;sourceID=13","")</f>
        <v/>
      </c>
    </row>
    <row r="27" spans="1:31">
      <c r="A27" s="3">
        <v>11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HYPERLINK("http://141.218.60.56/~jnz1568/getInfo.php?workbook=11_01.xlsx&amp;sheet=A0&amp;row=27&amp;col=6&amp;number=&amp;sourceID=18","")</f>
        <v/>
      </c>
      <c r="G27" s="4" t="str">
        <f>HYPERLINK("http://141.218.60.56/~jnz1568/getInfo.php?workbook=11_01.xlsx&amp;sheet=A0&amp;row=27&amp;col=7&amp;number==&amp;sourceID=11","=")</f>
        <v>=</v>
      </c>
      <c r="H27" s="4" t="str">
        <f>HYPERLINK("http://141.218.60.56/~jnz1568/getInfo.php?workbook=11_01.xlsx&amp;sheet=A0&amp;row=27&amp;col=8&amp;number=&amp;sourceID=11","")</f>
        <v/>
      </c>
      <c r="I27" s="4" t="str">
        <f>HYPERLINK("http://141.218.60.56/~jnz1568/getInfo.php?workbook=11_01.xlsx&amp;sheet=A0&amp;row=27&amp;col=9&amp;number=5.0277e-07&amp;sourceID=11","5.0277e-07")</f>
        <v>5.0277e-07</v>
      </c>
      <c r="J27" s="4" t="str">
        <f>HYPERLINK("http://141.218.60.56/~jnz1568/getInfo.php?workbook=11_01.xlsx&amp;sheet=A0&amp;row=27&amp;col=10&amp;number=&amp;sourceID=11","")</f>
        <v/>
      </c>
      <c r="K27" s="4" t="str">
        <f>HYPERLINK("http://141.218.60.56/~jnz1568/getInfo.php?workbook=11_01.xlsx&amp;sheet=A0&amp;row=27&amp;col=11&amp;number=0.036196&amp;sourceID=11","0.036196")</f>
        <v>0.036196</v>
      </c>
      <c r="L27" s="4" t="str">
        <f>HYPERLINK("http://141.218.60.56/~jnz1568/getInfo.php?workbook=11_01.xlsx&amp;sheet=A0&amp;row=27&amp;col=12&amp;number=&amp;sourceID=11","")</f>
        <v/>
      </c>
      <c r="M27" s="4" t="str">
        <f>HYPERLINK("http://141.218.60.56/~jnz1568/getInfo.php?workbook=11_01.xlsx&amp;sheet=A0&amp;row=27&amp;col=13&amp;number=&amp;sourceID=11","")</f>
        <v/>
      </c>
      <c r="N27" s="4" t="str">
        <f>HYPERLINK("http://141.218.60.56/~jnz1568/getInfo.php?workbook=11_01.xlsx&amp;sheet=A0&amp;row=27&amp;col=14&amp;number=0.036198&amp;sourceID=12","0.036198")</f>
        <v>0.036198</v>
      </c>
      <c r="O27" s="4" t="str">
        <f>HYPERLINK("http://141.218.60.56/~jnz1568/getInfo.php?workbook=11_01.xlsx&amp;sheet=A0&amp;row=27&amp;col=15&amp;number=&amp;sourceID=12","")</f>
        <v/>
      </c>
      <c r="P27" s="4" t="str">
        <f>HYPERLINK("http://141.218.60.56/~jnz1568/getInfo.php?workbook=11_01.xlsx&amp;sheet=A0&amp;row=27&amp;col=16&amp;number=5.0279e-07&amp;sourceID=12","5.0279e-07")</f>
        <v>5.0279e-07</v>
      </c>
      <c r="Q27" s="4" t="str">
        <f>HYPERLINK("http://141.218.60.56/~jnz1568/getInfo.php?workbook=11_01.xlsx&amp;sheet=A0&amp;row=27&amp;col=17&amp;number=&amp;sourceID=12","")</f>
        <v/>
      </c>
      <c r="R27" s="4" t="str">
        <f>HYPERLINK("http://141.218.60.56/~jnz1568/getInfo.php?workbook=11_01.xlsx&amp;sheet=A0&amp;row=27&amp;col=18&amp;number=0.036197&amp;sourceID=12","0.036197")</f>
        <v>0.036197</v>
      </c>
      <c r="S27" s="4" t="str">
        <f>HYPERLINK("http://141.218.60.56/~jnz1568/getInfo.php?workbook=11_01.xlsx&amp;sheet=A0&amp;row=27&amp;col=19&amp;number=&amp;sourceID=12","")</f>
        <v/>
      </c>
      <c r="T27" s="4" t="str">
        <f>HYPERLINK("http://141.218.60.56/~jnz1568/getInfo.php?workbook=11_01.xlsx&amp;sheet=A0&amp;row=27&amp;col=20&amp;number=&amp;sourceID=12","")</f>
        <v/>
      </c>
      <c r="U27" s="4" t="str">
        <f>HYPERLINK("http://141.218.60.56/~jnz1568/getInfo.php?workbook=11_01.xlsx&amp;sheet=A0&amp;row=27&amp;col=21&amp;number=0.0362005028&amp;sourceID=30","0.0362005028")</f>
        <v>0.0362005028</v>
      </c>
      <c r="V27" s="4" t="str">
        <f>HYPERLINK("http://141.218.60.56/~jnz1568/getInfo.php?workbook=11_01.xlsx&amp;sheet=A0&amp;row=27&amp;col=22&amp;number=&amp;sourceID=30","")</f>
        <v/>
      </c>
      <c r="W27" s="4" t="str">
        <f>HYPERLINK("http://141.218.60.56/~jnz1568/getInfo.php?workbook=11_01.xlsx&amp;sheet=A0&amp;row=27&amp;col=23&amp;number=5.028e-07&amp;sourceID=30","5.028e-07")</f>
        <v>5.028e-07</v>
      </c>
      <c r="X27" s="4" t="str">
        <f>HYPERLINK("http://141.218.60.56/~jnz1568/getInfo.php?workbook=11_01.xlsx&amp;sheet=A0&amp;row=27&amp;col=24&amp;number=0.0362&amp;sourceID=30","0.0362")</f>
        <v>0.0362</v>
      </c>
      <c r="Y27" s="4" t="str">
        <f>HYPERLINK("http://141.218.60.56/~jnz1568/getInfo.php?workbook=11_01.xlsx&amp;sheet=A0&amp;row=27&amp;col=25&amp;number=&amp;sourceID=30","")</f>
        <v/>
      </c>
      <c r="Z27" s="4" t="str">
        <f>HYPERLINK("http://141.218.60.56/~jnz1568/getInfo.php?workbook=11_01.xlsx&amp;sheet=A0&amp;row=27&amp;col=26&amp;number==&amp;sourceID=13","=")</f>
        <v>=</v>
      </c>
      <c r="AA27" s="4" t="str">
        <f>HYPERLINK("http://141.218.60.56/~jnz1568/getInfo.php?workbook=11_01.xlsx&amp;sheet=A0&amp;row=27&amp;col=27&amp;number=&amp;sourceID=13","")</f>
        <v/>
      </c>
      <c r="AB27" s="4" t="str">
        <f>HYPERLINK("http://141.218.60.56/~jnz1568/getInfo.php?workbook=11_01.xlsx&amp;sheet=A0&amp;row=27&amp;col=28&amp;number=4.87e-07&amp;sourceID=13","4.87e-07")</f>
        <v>4.87e-07</v>
      </c>
      <c r="AC27" s="4" t="str">
        <f>HYPERLINK("http://141.218.60.56/~jnz1568/getInfo.php?workbook=11_01.xlsx&amp;sheet=A0&amp;row=27&amp;col=29&amp;number=&amp;sourceID=13","")</f>
        <v/>
      </c>
      <c r="AD27" s="4" t="str">
        <f>HYPERLINK("http://141.218.60.56/~jnz1568/getInfo.php?workbook=11_01.xlsx&amp;sheet=A0&amp;row=27&amp;col=30&amp;number=0.0355&amp;sourceID=13","0.0355")</f>
        <v>0.0355</v>
      </c>
      <c r="AE27" s="4" t="str">
        <f>HYPERLINK("http://141.218.60.56/~jnz1568/getInfo.php?workbook=11_01.xlsx&amp;sheet=A0&amp;row=27&amp;col=31&amp;number=&amp;sourceID=13","")</f>
        <v/>
      </c>
    </row>
    <row r="28" spans="1:31">
      <c r="A28" s="3">
        <v>11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HYPERLINK("http://141.218.60.56/~jnz1568/getInfo.php?workbook=11_01.xlsx&amp;sheet=A0&amp;row=28&amp;col=6&amp;number=&amp;sourceID=18","")</f>
        <v/>
      </c>
      <c r="G28" s="4" t="str">
        <f>HYPERLINK("http://141.218.60.56/~jnz1568/getInfo.php?workbook=11_01.xlsx&amp;sheet=A0&amp;row=28&amp;col=7&amp;number==&amp;sourceID=11","=")</f>
        <v>=</v>
      </c>
      <c r="H28" s="4" t="str">
        <f>HYPERLINK("http://141.218.60.56/~jnz1568/getInfo.php?workbook=11_01.xlsx&amp;sheet=A0&amp;row=28&amp;col=8&amp;number=3635.3&amp;sourceID=11","3635.3")</f>
        <v>3635.3</v>
      </c>
      <c r="I28" s="4" t="str">
        <f>HYPERLINK("http://141.218.60.56/~jnz1568/getInfo.php?workbook=11_01.xlsx&amp;sheet=A0&amp;row=28&amp;col=9&amp;number=&amp;sourceID=11","")</f>
        <v/>
      </c>
      <c r="J28" s="4" t="str">
        <f>HYPERLINK("http://141.218.60.56/~jnz1568/getInfo.php?workbook=11_01.xlsx&amp;sheet=A0&amp;row=28&amp;col=10&amp;number=&amp;sourceID=11","")</f>
        <v/>
      </c>
      <c r="K28" s="4" t="str">
        <f>HYPERLINK("http://141.218.60.56/~jnz1568/getInfo.php?workbook=11_01.xlsx&amp;sheet=A0&amp;row=28&amp;col=11&amp;number=&amp;sourceID=11","")</f>
        <v/>
      </c>
      <c r="L28" s="4" t="str">
        <f>HYPERLINK("http://141.218.60.56/~jnz1568/getInfo.php?workbook=11_01.xlsx&amp;sheet=A0&amp;row=28&amp;col=12&amp;number=1.0156e-10&amp;sourceID=11","1.0156e-10")</f>
        <v>1.0156e-10</v>
      </c>
      <c r="M28" s="4" t="str">
        <f>HYPERLINK("http://141.218.60.56/~jnz1568/getInfo.php?workbook=11_01.xlsx&amp;sheet=A0&amp;row=28&amp;col=13&amp;number=&amp;sourceID=11","")</f>
        <v/>
      </c>
      <c r="N28" s="4" t="str">
        <f>HYPERLINK("http://141.218.60.56/~jnz1568/getInfo.php?workbook=11_01.xlsx&amp;sheet=A0&amp;row=28&amp;col=14&amp;number=3635.4&amp;sourceID=12","3635.4")</f>
        <v>3635.4</v>
      </c>
      <c r="O28" s="4" t="str">
        <f>HYPERLINK("http://141.218.60.56/~jnz1568/getInfo.php?workbook=11_01.xlsx&amp;sheet=A0&amp;row=28&amp;col=15&amp;number=3635.4&amp;sourceID=12","3635.4")</f>
        <v>3635.4</v>
      </c>
      <c r="P28" s="4" t="str">
        <f>HYPERLINK("http://141.218.60.56/~jnz1568/getInfo.php?workbook=11_01.xlsx&amp;sheet=A0&amp;row=28&amp;col=16&amp;number=&amp;sourceID=12","")</f>
        <v/>
      </c>
      <c r="Q28" s="4" t="str">
        <f>HYPERLINK("http://141.218.60.56/~jnz1568/getInfo.php?workbook=11_01.xlsx&amp;sheet=A0&amp;row=28&amp;col=17&amp;number=&amp;sourceID=12","")</f>
        <v/>
      </c>
      <c r="R28" s="4" t="str">
        <f>HYPERLINK("http://141.218.60.56/~jnz1568/getInfo.php?workbook=11_01.xlsx&amp;sheet=A0&amp;row=28&amp;col=18&amp;number=&amp;sourceID=12","")</f>
        <v/>
      </c>
      <c r="S28" s="4" t="str">
        <f>HYPERLINK("http://141.218.60.56/~jnz1568/getInfo.php?workbook=11_01.xlsx&amp;sheet=A0&amp;row=28&amp;col=19&amp;number=1.0156e-10&amp;sourceID=12","1.0156e-10")</f>
        <v>1.0156e-10</v>
      </c>
      <c r="T28" s="4" t="str">
        <f>HYPERLINK("http://141.218.60.56/~jnz1568/getInfo.php?workbook=11_01.xlsx&amp;sheet=A0&amp;row=28&amp;col=20&amp;number=&amp;sourceID=12","")</f>
        <v/>
      </c>
      <c r="U28" s="4" t="str">
        <f>HYPERLINK("http://141.218.60.56/~jnz1568/getInfo.php?workbook=11_01.xlsx&amp;sheet=A0&amp;row=28&amp;col=21&amp;number=3635.0&amp;sourceID=30","3635.0")</f>
        <v>3635.0</v>
      </c>
      <c r="V28" s="4" t="str">
        <f>HYPERLINK("http://141.218.60.56/~jnz1568/getInfo.php?workbook=11_01.xlsx&amp;sheet=A0&amp;row=28&amp;col=22&amp;number=3635&amp;sourceID=30","3635")</f>
        <v>3635</v>
      </c>
      <c r="W28" s="4" t="str">
        <f>HYPERLINK("http://141.218.60.56/~jnz1568/getInfo.php?workbook=11_01.xlsx&amp;sheet=A0&amp;row=28&amp;col=23&amp;number=&amp;sourceID=30","")</f>
        <v/>
      </c>
      <c r="X28" s="4" t="str">
        <f>HYPERLINK("http://141.218.60.56/~jnz1568/getInfo.php?workbook=11_01.xlsx&amp;sheet=A0&amp;row=28&amp;col=24&amp;number=&amp;sourceID=30","")</f>
        <v/>
      </c>
      <c r="Y28" s="4" t="str">
        <f>HYPERLINK("http://141.218.60.56/~jnz1568/getInfo.php?workbook=11_01.xlsx&amp;sheet=A0&amp;row=28&amp;col=25&amp;number=1.016e-10&amp;sourceID=30","1.016e-10")</f>
        <v>1.016e-10</v>
      </c>
      <c r="Z28" s="4" t="str">
        <f>HYPERLINK("http://141.218.60.56/~jnz1568/getInfo.php?workbook=11_01.xlsx&amp;sheet=A0&amp;row=28&amp;col=26&amp;number==&amp;sourceID=13","=")</f>
        <v>=</v>
      </c>
      <c r="AA28" s="4" t="str">
        <f>HYPERLINK("http://141.218.60.56/~jnz1568/getInfo.php?workbook=11_01.xlsx&amp;sheet=A0&amp;row=28&amp;col=27&amp;number=3530&amp;sourceID=13","3530")</f>
        <v>3530</v>
      </c>
      <c r="AB28" s="4" t="str">
        <f>HYPERLINK("http://141.218.60.56/~jnz1568/getInfo.php?workbook=11_01.xlsx&amp;sheet=A0&amp;row=28&amp;col=28&amp;number=&amp;sourceID=13","")</f>
        <v/>
      </c>
      <c r="AC28" s="4" t="str">
        <f>HYPERLINK("http://141.218.60.56/~jnz1568/getInfo.php?workbook=11_01.xlsx&amp;sheet=A0&amp;row=28&amp;col=29&amp;number=&amp;sourceID=13","")</f>
        <v/>
      </c>
      <c r="AD28" s="4" t="str">
        <f>HYPERLINK("http://141.218.60.56/~jnz1568/getInfo.php?workbook=11_01.xlsx&amp;sheet=A0&amp;row=28&amp;col=30&amp;number=&amp;sourceID=13","")</f>
        <v/>
      </c>
      <c r="AE28" s="4" t="str">
        <f>HYPERLINK("http://141.218.60.56/~jnz1568/getInfo.php?workbook=11_01.xlsx&amp;sheet=A0&amp;row=28&amp;col=31&amp;number=&amp;sourceID=13","")</f>
        <v/>
      </c>
    </row>
    <row r="29" spans="1:31">
      <c r="A29" s="3">
        <v>11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HYPERLINK("http://141.218.60.56/~jnz1568/getInfo.php?workbook=11_01.xlsx&amp;sheet=A0&amp;row=29&amp;col=6&amp;number=&amp;sourceID=18","")</f>
        <v/>
      </c>
      <c r="G29" s="4" t="str">
        <f>HYPERLINK("http://141.218.60.56/~jnz1568/getInfo.php?workbook=11_01.xlsx&amp;sheet=A0&amp;row=29&amp;col=7&amp;number==&amp;sourceID=11","=")</f>
        <v>=</v>
      </c>
      <c r="H29" s="4" t="str">
        <f>HYPERLINK("http://141.218.60.56/~jnz1568/getInfo.php?workbook=11_01.xlsx&amp;sheet=A0&amp;row=29&amp;col=8&amp;number=&amp;sourceID=11","")</f>
        <v/>
      </c>
      <c r="I29" s="4" t="str">
        <f>HYPERLINK("http://141.218.60.56/~jnz1568/getInfo.php?workbook=11_01.xlsx&amp;sheet=A0&amp;row=29&amp;col=9&amp;number=1046900000&amp;sourceID=11","1046900000")</f>
        <v>1046900000</v>
      </c>
      <c r="J29" s="4" t="str">
        <f>HYPERLINK("http://141.218.60.56/~jnz1568/getInfo.php?workbook=11_01.xlsx&amp;sheet=A0&amp;row=29&amp;col=10&amp;number=&amp;sourceID=11","")</f>
        <v/>
      </c>
      <c r="K29" s="4" t="str">
        <f>HYPERLINK("http://141.218.60.56/~jnz1568/getInfo.php?workbook=11_01.xlsx&amp;sheet=A0&amp;row=29&amp;col=11&amp;number=&amp;sourceID=11","")</f>
        <v/>
      </c>
      <c r="L29" s="4" t="str">
        <f>HYPERLINK("http://141.218.60.56/~jnz1568/getInfo.php?workbook=11_01.xlsx&amp;sheet=A0&amp;row=29&amp;col=12&amp;number=&amp;sourceID=11","")</f>
        <v/>
      </c>
      <c r="M29" s="4" t="str">
        <f>HYPERLINK("http://141.218.60.56/~jnz1568/getInfo.php?workbook=11_01.xlsx&amp;sheet=A0&amp;row=29&amp;col=13&amp;number=1916.2&amp;sourceID=11","1916.2")</f>
        <v>1916.2</v>
      </c>
      <c r="N29" s="4" t="str">
        <f>HYPERLINK("http://141.218.60.56/~jnz1568/getInfo.php?workbook=11_01.xlsx&amp;sheet=A0&amp;row=29&amp;col=14&amp;number=1047000000&amp;sourceID=12","1047000000")</f>
        <v>1047000000</v>
      </c>
      <c r="O29" s="4" t="str">
        <f>HYPERLINK("http://141.218.60.56/~jnz1568/getInfo.php?workbook=11_01.xlsx&amp;sheet=A0&amp;row=29&amp;col=15&amp;number=&amp;sourceID=12","")</f>
        <v/>
      </c>
      <c r="P29" s="4" t="str">
        <f>HYPERLINK("http://141.218.60.56/~jnz1568/getInfo.php?workbook=11_01.xlsx&amp;sheet=A0&amp;row=29&amp;col=16&amp;number=1047000000&amp;sourceID=12","1047000000")</f>
        <v>1047000000</v>
      </c>
      <c r="Q29" s="4" t="str">
        <f>HYPERLINK("http://141.218.60.56/~jnz1568/getInfo.php?workbook=11_01.xlsx&amp;sheet=A0&amp;row=29&amp;col=17&amp;number=&amp;sourceID=12","")</f>
        <v/>
      </c>
      <c r="R29" s="4" t="str">
        <f>HYPERLINK("http://141.218.60.56/~jnz1568/getInfo.php?workbook=11_01.xlsx&amp;sheet=A0&amp;row=29&amp;col=18&amp;number=&amp;sourceID=12","")</f>
        <v/>
      </c>
      <c r="S29" s="4" t="str">
        <f>HYPERLINK("http://141.218.60.56/~jnz1568/getInfo.php?workbook=11_01.xlsx&amp;sheet=A0&amp;row=29&amp;col=19&amp;number=&amp;sourceID=12","")</f>
        <v/>
      </c>
      <c r="T29" s="4" t="str">
        <f>HYPERLINK("http://141.218.60.56/~jnz1568/getInfo.php?workbook=11_01.xlsx&amp;sheet=A0&amp;row=29&amp;col=20&amp;number=1916.2&amp;sourceID=12","1916.2")</f>
        <v>1916.2</v>
      </c>
      <c r="U29" s="4" t="str">
        <f>HYPERLINK("http://141.218.60.56/~jnz1568/getInfo.php?workbook=11_01.xlsx&amp;sheet=A0&amp;row=29&amp;col=21&amp;number=1047000000&amp;sourceID=30","1047000000")</f>
        <v>1047000000</v>
      </c>
      <c r="V29" s="4" t="str">
        <f>HYPERLINK("http://141.218.60.56/~jnz1568/getInfo.php?workbook=11_01.xlsx&amp;sheet=A0&amp;row=29&amp;col=22&amp;number=&amp;sourceID=30","")</f>
        <v/>
      </c>
      <c r="W29" s="4" t="str">
        <f>HYPERLINK("http://141.218.60.56/~jnz1568/getInfo.php?workbook=11_01.xlsx&amp;sheet=A0&amp;row=29&amp;col=23&amp;number=1047000000&amp;sourceID=30","1047000000")</f>
        <v>1047000000</v>
      </c>
      <c r="X29" s="4" t="str">
        <f>HYPERLINK("http://141.218.60.56/~jnz1568/getInfo.php?workbook=11_01.xlsx&amp;sheet=A0&amp;row=29&amp;col=24&amp;number=&amp;sourceID=30","")</f>
        <v/>
      </c>
      <c r="Y29" s="4" t="str">
        <f>HYPERLINK("http://141.218.60.56/~jnz1568/getInfo.php?workbook=11_01.xlsx&amp;sheet=A0&amp;row=29&amp;col=25&amp;number=&amp;sourceID=30","")</f>
        <v/>
      </c>
      <c r="Z29" s="4" t="str">
        <f>HYPERLINK("http://141.218.60.56/~jnz1568/getInfo.php?workbook=11_01.xlsx&amp;sheet=A0&amp;row=29&amp;col=26&amp;number==&amp;sourceID=13","=")</f>
        <v>=</v>
      </c>
      <c r="AA29" s="4" t="str">
        <f>HYPERLINK("http://141.218.60.56/~jnz1568/getInfo.php?workbook=11_01.xlsx&amp;sheet=A0&amp;row=29&amp;col=27&amp;number=&amp;sourceID=13","")</f>
        <v/>
      </c>
      <c r="AB29" s="4" t="str">
        <f>HYPERLINK("http://141.218.60.56/~jnz1568/getInfo.php?workbook=11_01.xlsx&amp;sheet=A0&amp;row=29&amp;col=28&amp;number=1070000000&amp;sourceID=13","1070000000")</f>
        <v>1070000000</v>
      </c>
      <c r="AC29" s="4" t="str">
        <f>HYPERLINK("http://141.218.60.56/~jnz1568/getInfo.php?workbook=11_01.xlsx&amp;sheet=A0&amp;row=29&amp;col=29&amp;number=&amp;sourceID=13","")</f>
        <v/>
      </c>
      <c r="AD29" s="4" t="str">
        <f>HYPERLINK("http://141.218.60.56/~jnz1568/getInfo.php?workbook=11_01.xlsx&amp;sheet=A0&amp;row=29&amp;col=30&amp;number=&amp;sourceID=13","")</f>
        <v/>
      </c>
      <c r="AE29" s="4" t="str">
        <f>HYPERLINK("http://141.218.60.56/~jnz1568/getInfo.php?workbook=11_01.xlsx&amp;sheet=A0&amp;row=29&amp;col=31&amp;number=&amp;sourceID=13","")</f>
        <v/>
      </c>
    </row>
    <row r="30" spans="1:31">
      <c r="A30" s="3">
        <v>11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HYPERLINK("http://141.218.60.56/~jnz1568/getInfo.php?workbook=11_01.xlsx&amp;sheet=A0&amp;row=30&amp;col=6&amp;number=&amp;sourceID=18","")</f>
        <v/>
      </c>
      <c r="G30" s="4" t="str">
        <f>HYPERLINK("http://141.218.60.56/~jnz1568/getInfo.php?workbook=11_01.xlsx&amp;sheet=A0&amp;row=30&amp;col=7&amp;number==&amp;sourceID=11","=")</f>
        <v>=</v>
      </c>
      <c r="H30" s="4" t="str">
        <f>HYPERLINK("http://141.218.60.56/~jnz1568/getInfo.php?workbook=11_01.xlsx&amp;sheet=A0&amp;row=30&amp;col=8&amp;number=&amp;sourceID=11","")</f>
        <v/>
      </c>
      <c r="I30" s="4" t="str">
        <f>HYPERLINK("http://141.218.60.56/~jnz1568/getInfo.php?workbook=11_01.xlsx&amp;sheet=A0&amp;row=30&amp;col=9&amp;number=&amp;sourceID=11","")</f>
        <v/>
      </c>
      <c r="J30" s="4" t="str">
        <f>HYPERLINK("http://141.218.60.56/~jnz1568/getInfo.php?workbook=11_01.xlsx&amp;sheet=A0&amp;row=30&amp;col=10&amp;number=2728.7&amp;sourceID=11","2728.7")</f>
        <v>2728.7</v>
      </c>
      <c r="K30" s="4" t="str">
        <f>HYPERLINK("http://141.218.60.56/~jnz1568/getInfo.php?workbook=11_01.xlsx&amp;sheet=A0&amp;row=30&amp;col=11&amp;number=&amp;sourceID=11","")</f>
        <v/>
      </c>
      <c r="L30" s="4" t="str">
        <f>HYPERLINK("http://141.218.60.56/~jnz1568/getInfo.php?workbook=11_01.xlsx&amp;sheet=A0&amp;row=30&amp;col=12&amp;number=8505.7&amp;sourceID=11","8505.7")</f>
        <v>8505.7</v>
      </c>
      <c r="M30" s="4" t="str">
        <f>HYPERLINK("http://141.218.60.56/~jnz1568/getInfo.php?workbook=11_01.xlsx&amp;sheet=A0&amp;row=30&amp;col=13&amp;number=&amp;sourceID=11","")</f>
        <v/>
      </c>
      <c r="N30" s="4" t="str">
        <f>HYPERLINK("http://141.218.60.56/~jnz1568/getInfo.php?workbook=11_01.xlsx&amp;sheet=A0&amp;row=30&amp;col=14&amp;number=11235&amp;sourceID=12","11235")</f>
        <v>11235</v>
      </c>
      <c r="O30" s="4" t="str">
        <f>HYPERLINK("http://141.218.60.56/~jnz1568/getInfo.php?workbook=11_01.xlsx&amp;sheet=A0&amp;row=30&amp;col=15&amp;number=&amp;sourceID=12","")</f>
        <v/>
      </c>
      <c r="P30" s="4" t="str">
        <f>HYPERLINK("http://141.218.60.56/~jnz1568/getInfo.php?workbook=11_01.xlsx&amp;sheet=A0&amp;row=30&amp;col=16&amp;number=&amp;sourceID=12","")</f>
        <v/>
      </c>
      <c r="Q30" s="4" t="str">
        <f>HYPERLINK("http://141.218.60.56/~jnz1568/getInfo.php?workbook=11_01.xlsx&amp;sheet=A0&amp;row=30&amp;col=17&amp;number=2728.7&amp;sourceID=12","2728.7")</f>
        <v>2728.7</v>
      </c>
      <c r="R30" s="4" t="str">
        <f>HYPERLINK("http://141.218.60.56/~jnz1568/getInfo.php?workbook=11_01.xlsx&amp;sheet=A0&amp;row=30&amp;col=18&amp;number=&amp;sourceID=12","")</f>
        <v/>
      </c>
      <c r="S30" s="4" t="str">
        <f>HYPERLINK("http://141.218.60.56/~jnz1568/getInfo.php?workbook=11_01.xlsx&amp;sheet=A0&amp;row=30&amp;col=19&amp;number=8505.9&amp;sourceID=12","8505.9")</f>
        <v>8505.9</v>
      </c>
      <c r="T30" s="4" t="str">
        <f>HYPERLINK("http://141.218.60.56/~jnz1568/getInfo.php?workbook=11_01.xlsx&amp;sheet=A0&amp;row=30&amp;col=20&amp;number=&amp;sourceID=12","")</f>
        <v/>
      </c>
      <c r="U30" s="4" t="str">
        <f>HYPERLINK("http://141.218.60.56/~jnz1568/getInfo.php?workbook=11_01.xlsx&amp;sheet=A0&amp;row=30&amp;col=21&amp;number=8506&amp;sourceID=30","8506")</f>
        <v>8506</v>
      </c>
      <c r="V30" s="4" t="str">
        <f>HYPERLINK("http://141.218.60.56/~jnz1568/getInfo.php?workbook=11_01.xlsx&amp;sheet=A0&amp;row=30&amp;col=22&amp;number=&amp;sourceID=30","")</f>
        <v/>
      </c>
      <c r="W30" s="4" t="str">
        <f>HYPERLINK("http://141.218.60.56/~jnz1568/getInfo.php?workbook=11_01.xlsx&amp;sheet=A0&amp;row=30&amp;col=23&amp;number=&amp;sourceID=30","")</f>
        <v/>
      </c>
      <c r="X30" s="4" t="str">
        <f>HYPERLINK("http://141.218.60.56/~jnz1568/getInfo.php?workbook=11_01.xlsx&amp;sheet=A0&amp;row=30&amp;col=24&amp;number=&amp;sourceID=30","")</f>
        <v/>
      </c>
      <c r="Y30" s="4" t="str">
        <f>HYPERLINK("http://141.218.60.56/~jnz1568/getInfo.php?workbook=11_01.xlsx&amp;sheet=A0&amp;row=30&amp;col=25&amp;number=8506&amp;sourceID=30","8506")</f>
        <v>8506</v>
      </c>
      <c r="Z30" s="4" t="str">
        <f>HYPERLINK("http://141.218.60.56/~jnz1568/getInfo.php?workbook=11_01.xlsx&amp;sheet=A0&amp;row=30&amp;col=26&amp;number==&amp;sourceID=13","=")</f>
        <v>=</v>
      </c>
      <c r="AA30" s="4" t="str">
        <f>HYPERLINK("http://141.218.60.56/~jnz1568/getInfo.php?workbook=11_01.xlsx&amp;sheet=A0&amp;row=30&amp;col=27&amp;number=&amp;sourceID=13","")</f>
        <v/>
      </c>
      <c r="AB30" s="4" t="str">
        <f>HYPERLINK("http://141.218.60.56/~jnz1568/getInfo.php?workbook=11_01.xlsx&amp;sheet=A0&amp;row=30&amp;col=28&amp;number=&amp;sourceID=13","")</f>
        <v/>
      </c>
      <c r="AC30" s="4" t="str">
        <f>HYPERLINK("http://141.218.60.56/~jnz1568/getInfo.php?workbook=11_01.xlsx&amp;sheet=A0&amp;row=30&amp;col=29&amp;number=4240&amp;sourceID=13","4240")</f>
        <v>4240</v>
      </c>
      <c r="AD30" s="4" t="str">
        <f>HYPERLINK("http://141.218.60.56/~jnz1568/getInfo.php?workbook=11_01.xlsx&amp;sheet=A0&amp;row=30&amp;col=30&amp;number=&amp;sourceID=13","")</f>
        <v/>
      </c>
      <c r="AE30" s="4" t="str">
        <f>HYPERLINK("http://141.218.60.56/~jnz1568/getInfo.php?workbook=11_01.xlsx&amp;sheet=A0&amp;row=30&amp;col=31&amp;number=34000&amp;sourceID=13","34000")</f>
        <v>34000</v>
      </c>
    </row>
    <row r="31" spans="1:31">
      <c r="A31" s="3">
        <v>11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HYPERLINK("http://141.218.60.56/~jnz1568/getInfo.php?workbook=11_01.xlsx&amp;sheet=A0&amp;row=31&amp;col=6&amp;number=&amp;sourceID=18","")</f>
        <v/>
      </c>
      <c r="G31" s="4" t="str">
        <f>HYPERLINK("http://141.218.60.56/~jnz1568/getInfo.php?workbook=11_01.xlsx&amp;sheet=A0&amp;row=31&amp;col=7&amp;number==&amp;sourceID=11","=")</f>
        <v>=</v>
      </c>
      <c r="H31" s="4" t="str">
        <f>HYPERLINK("http://141.218.60.56/~jnz1568/getInfo.php?workbook=11_01.xlsx&amp;sheet=A0&amp;row=31&amp;col=8&amp;number=&amp;sourceID=11","")</f>
        <v/>
      </c>
      <c r="I31" s="4" t="str">
        <f>HYPERLINK("http://141.218.60.56/~jnz1568/getInfo.php?workbook=11_01.xlsx&amp;sheet=A0&amp;row=31&amp;col=9&amp;number=91168000&amp;sourceID=11","91168000")</f>
        <v>91168000</v>
      </c>
      <c r="J31" s="4" t="str">
        <f>HYPERLINK("http://141.218.60.56/~jnz1568/getInfo.php?workbook=11_01.xlsx&amp;sheet=A0&amp;row=31&amp;col=10&amp;number=&amp;sourceID=11","")</f>
        <v/>
      </c>
      <c r="K31" s="4" t="str">
        <f>HYPERLINK("http://141.218.60.56/~jnz1568/getInfo.php?workbook=11_01.xlsx&amp;sheet=A0&amp;row=31&amp;col=11&amp;number=&amp;sourceID=11","")</f>
        <v/>
      </c>
      <c r="L31" s="4" t="str">
        <f>HYPERLINK("http://141.218.60.56/~jnz1568/getInfo.php?workbook=11_01.xlsx&amp;sheet=A0&amp;row=31&amp;col=12&amp;number=&amp;sourceID=11","")</f>
        <v/>
      </c>
      <c r="M31" s="4" t="str">
        <f>HYPERLINK("http://141.218.60.56/~jnz1568/getInfo.php?workbook=11_01.xlsx&amp;sheet=A0&amp;row=31&amp;col=13&amp;number=4.0843&amp;sourceID=11","4.0843")</f>
        <v>4.0843</v>
      </c>
      <c r="N31" s="4" t="str">
        <f>HYPERLINK("http://141.218.60.56/~jnz1568/getInfo.php?workbook=11_01.xlsx&amp;sheet=A0&amp;row=31&amp;col=14&amp;number=91171000&amp;sourceID=12","91171000")</f>
        <v>91171000</v>
      </c>
      <c r="O31" s="4" t="str">
        <f>HYPERLINK("http://141.218.60.56/~jnz1568/getInfo.php?workbook=11_01.xlsx&amp;sheet=A0&amp;row=31&amp;col=15&amp;number=&amp;sourceID=12","")</f>
        <v/>
      </c>
      <c r="P31" s="4" t="str">
        <f>HYPERLINK("http://141.218.60.56/~jnz1568/getInfo.php?workbook=11_01.xlsx&amp;sheet=A0&amp;row=31&amp;col=16&amp;number=91171000&amp;sourceID=12","91171000")</f>
        <v>91171000</v>
      </c>
      <c r="Q31" s="4" t="str">
        <f>HYPERLINK("http://141.218.60.56/~jnz1568/getInfo.php?workbook=11_01.xlsx&amp;sheet=A0&amp;row=31&amp;col=17&amp;number=&amp;sourceID=12","")</f>
        <v/>
      </c>
      <c r="R31" s="4" t="str">
        <f>HYPERLINK("http://141.218.60.56/~jnz1568/getInfo.php?workbook=11_01.xlsx&amp;sheet=A0&amp;row=31&amp;col=18&amp;number=&amp;sourceID=12","")</f>
        <v/>
      </c>
      <c r="S31" s="4" t="str">
        <f>HYPERLINK("http://141.218.60.56/~jnz1568/getInfo.php?workbook=11_01.xlsx&amp;sheet=A0&amp;row=31&amp;col=19&amp;number=&amp;sourceID=12","")</f>
        <v/>
      </c>
      <c r="T31" s="4" t="str">
        <f>HYPERLINK("http://141.218.60.56/~jnz1568/getInfo.php?workbook=11_01.xlsx&amp;sheet=A0&amp;row=31&amp;col=20&amp;number=4.0844&amp;sourceID=12","4.0844")</f>
        <v>4.0844</v>
      </c>
      <c r="U31" s="4" t="str">
        <f>HYPERLINK("http://141.218.60.56/~jnz1568/getInfo.php?workbook=11_01.xlsx&amp;sheet=A0&amp;row=31&amp;col=21&amp;number=91170000&amp;sourceID=30","91170000")</f>
        <v>91170000</v>
      </c>
      <c r="V31" s="4" t="str">
        <f>HYPERLINK("http://141.218.60.56/~jnz1568/getInfo.php?workbook=11_01.xlsx&amp;sheet=A0&amp;row=31&amp;col=22&amp;number=&amp;sourceID=30","")</f>
        <v/>
      </c>
      <c r="W31" s="4" t="str">
        <f>HYPERLINK("http://141.218.60.56/~jnz1568/getInfo.php?workbook=11_01.xlsx&amp;sheet=A0&amp;row=31&amp;col=23&amp;number=91170000&amp;sourceID=30","91170000")</f>
        <v>91170000</v>
      </c>
      <c r="X31" s="4" t="str">
        <f>HYPERLINK("http://141.218.60.56/~jnz1568/getInfo.php?workbook=11_01.xlsx&amp;sheet=A0&amp;row=31&amp;col=24&amp;number=&amp;sourceID=30","")</f>
        <v/>
      </c>
      <c r="Y31" s="4" t="str">
        <f>HYPERLINK("http://141.218.60.56/~jnz1568/getInfo.php?workbook=11_01.xlsx&amp;sheet=A0&amp;row=31&amp;col=25&amp;number=&amp;sourceID=30","")</f>
        <v/>
      </c>
      <c r="Z31" s="4" t="str">
        <f>HYPERLINK("http://141.218.60.56/~jnz1568/getInfo.php?workbook=11_01.xlsx&amp;sheet=A0&amp;row=31&amp;col=26&amp;number==&amp;sourceID=13","=")</f>
        <v>=</v>
      </c>
      <c r="AA31" s="4" t="str">
        <f>HYPERLINK("http://141.218.60.56/~jnz1568/getInfo.php?workbook=11_01.xlsx&amp;sheet=A0&amp;row=31&amp;col=27&amp;number=&amp;sourceID=13","")</f>
        <v/>
      </c>
      <c r="AB31" s="4" t="str">
        <f>HYPERLINK("http://141.218.60.56/~jnz1568/getInfo.php?workbook=11_01.xlsx&amp;sheet=A0&amp;row=31&amp;col=28&amp;number=91100000&amp;sourceID=13","91100000")</f>
        <v>91100000</v>
      </c>
      <c r="AC31" s="4" t="str">
        <f>HYPERLINK("http://141.218.60.56/~jnz1568/getInfo.php?workbook=11_01.xlsx&amp;sheet=A0&amp;row=31&amp;col=29&amp;number=&amp;sourceID=13","")</f>
        <v/>
      </c>
      <c r="AD31" s="4" t="str">
        <f>HYPERLINK("http://141.218.60.56/~jnz1568/getInfo.php?workbook=11_01.xlsx&amp;sheet=A0&amp;row=31&amp;col=30&amp;number=&amp;sourceID=13","")</f>
        <v/>
      </c>
      <c r="AE31" s="4" t="str">
        <f>HYPERLINK("http://141.218.60.56/~jnz1568/getInfo.php?workbook=11_01.xlsx&amp;sheet=A0&amp;row=31&amp;col=31&amp;number=&amp;sourceID=13","")</f>
        <v/>
      </c>
    </row>
    <row r="32" spans="1:31">
      <c r="A32" s="3">
        <v>11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HYPERLINK("http://141.218.60.56/~jnz1568/getInfo.php?workbook=11_01.xlsx&amp;sheet=A0&amp;row=32&amp;col=6&amp;number=&amp;sourceID=18","")</f>
        <v/>
      </c>
      <c r="G32" s="4" t="str">
        <f>HYPERLINK("http://141.218.60.56/~jnz1568/getInfo.php?workbook=11_01.xlsx&amp;sheet=A0&amp;row=32&amp;col=7&amp;number==&amp;sourceID=11","=")</f>
        <v>=</v>
      </c>
      <c r="H32" s="4" t="str">
        <f>HYPERLINK("http://141.218.60.56/~jnz1568/getInfo.php?workbook=11_01.xlsx&amp;sheet=A0&amp;row=32&amp;col=8&amp;number=946790000000&amp;sourceID=11","946790000000")</f>
        <v>946790000000</v>
      </c>
      <c r="I32" s="4" t="str">
        <f>HYPERLINK("http://141.218.60.56/~jnz1568/getInfo.php?workbook=11_01.xlsx&amp;sheet=A0&amp;row=32&amp;col=9&amp;number=&amp;sourceID=11","")</f>
        <v/>
      </c>
      <c r="J32" s="4" t="str">
        <f>HYPERLINK("http://141.218.60.56/~jnz1568/getInfo.php?workbook=11_01.xlsx&amp;sheet=A0&amp;row=32&amp;col=10&amp;number=2159.2&amp;sourceID=11","2159.2")</f>
        <v>2159.2</v>
      </c>
      <c r="K32" s="4" t="str">
        <f>HYPERLINK("http://141.218.60.56/~jnz1568/getInfo.php?workbook=11_01.xlsx&amp;sheet=A0&amp;row=32&amp;col=11&amp;number=&amp;sourceID=11","")</f>
        <v/>
      </c>
      <c r="L32" s="4" t="str">
        <f>HYPERLINK("http://141.218.60.56/~jnz1568/getInfo.php?workbook=11_01.xlsx&amp;sheet=A0&amp;row=32&amp;col=12&amp;number=46108&amp;sourceID=11","46108")</f>
        <v>46108</v>
      </c>
      <c r="M32" s="4" t="str">
        <f>HYPERLINK("http://141.218.60.56/~jnz1568/getInfo.php?workbook=11_01.xlsx&amp;sheet=A0&amp;row=32&amp;col=13&amp;number=&amp;sourceID=11","")</f>
        <v/>
      </c>
      <c r="N32" s="4" t="str">
        <f>HYPERLINK("http://141.218.60.56/~jnz1568/getInfo.php?workbook=11_01.xlsx&amp;sheet=A0&amp;row=32&amp;col=14&amp;number=946810000000&amp;sourceID=12","946810000000")</f>
        <v>946810000000</v>
      </c>
      <c r="O32" s="4" t="str">
        <f>HYPERLINK("http://141.218.60.56/~jnz1568/getInfo.php?workbook=11_01.xlsx&amp;sheet=A0&amp;row=32&amp;col=15&amp;number=946810000000&amp;sourceID=12","946810000000")</f>
        <v>946810000000</v>
      </c>
      <c r="P32" s="4" t="str">
        <f>HYPERLINK("http://141.218.60.56/~jnz1568/getInfo.php?workbook=11_01.xlsx&amp;sheet=A0&amp;row=32&amp;col=16&amp;number=&amp;sourceID=12","")</f>
        <v/>
      </c>
      <c r="Q32" s="4" t="str">
        <f>HYPERLINK("http://141.218.60.56/~jnz1568/getInfo.php?workbook=11_01.xlsx&amp;sheet=A0&amp;row=32&amp;col=17&amp;number=2159.3&amp;sourceID=12","2159.3")</f>
        <v>2159.3</v>
      </c>
      <c r="R32" s="4" t="str">
        <f>HYPERLINK("http://141.218.60.56/~jnz1568/getInfo.php?workbook=11_01.xlsx&amp;sheet=A0&amp;row=32&amp;col=18&amp;number=&amp;sourceID=12","")</f>
        <v/>
      </c>
      <c r="S32" s="4" t="str">
        <f>HYPERLINK("http://141.218.60.56/~jnz1568/getInfo.php?workbook=11_01.xlsx&amp;sheet=A0&amp;row=32&amp;col=19&amp;number=46109&amp;sourceID=12","46109")</f>
        <v>46109</v>
      </c>
      <c r="T32" s="4" t="str">
        <f>HYPERLINK("http://141.218.60.56/~jnz1568/getInfo.php?workbook=11_01.xlsx&amp;sheet=A0&amp;row=32&amp;col=20&amp;number=&amp;sourceID=12","")</f>
        <v/>
      </c>
      <c r="U32" s="4" t="str">
        <f>HYPERLINK("http://141.218.60.56/~jnz1568/getInfo.php?workbook=11_01.xlsx&amp;sheet=A0&amp;row=32&amp;col=21&amp;number=946800046110&amp;sourceID=30","946800046110")</f>
        <v>946800046110</v>
      </c>
      <c r="V32" s="4" t="str">
        <f>HYPERLINK("http://141.218.60.56/~jnz1568/getInfo.php?workbook=11_01.xlsx&amp;sheet=A0&amp;row=32&amp;col=22&amp;number=946800000000&amp;sourceID=30","946800000000")</f>
        <v>946800000000</v>
      </c>
      <c r="W32" s="4" t="str">
        <f>HYPERLINK("http://141.218.60.56/~jnz1568/getInfo.php?workbook=11_01.xlsx&amp;sheet=A0&amp;row=32&amp;col=23&amp;number=&amp;sourceID=30","")</f>
        <v/>
      </c>
      <c r="X32" s="4" t="str">
        <f>HYPERLINK("http://141.218.60.56/~jnz1568/getInfo.php?workbook=11_01.xlsx&amp;sheet=A0&amp;row=32&amp;col=24&amp;number=&amp;sourceID=30","")</f>
        <v/>
      </c>
      <c r="Y32" s="4" t="str">
        <f>HYPERLINK("http://141.218.60.56/~jnz1568/getInfo.php?workbook=11_01.xlsx&amp;sheet=A0&amp;row=32&amp;col=25&amp;number=46110&amp;sourceID=30","46110")</f>
        <v>46110</v>
      </c>
      <c r="Z32" s="4" t="str">
        <f>HYPERLINK("http://141.218.60.56/~jnz1568/getInfo.php?workbook=11_01.xlsx&amp;sheet=A0&amp;row=32&amp;col=26&amp;number==&amp;sourceID=13","=")</f>
        <v>=</v>
      </c>
      <c r="AA32" s="4" t="str">
        <f>HYPERLINK("http://141.218.60.56/~jnz1568/getInfo.php?workbook=11_01.xlsx&amp;sheet=A0&amp;row=32&amp;col=27&amp;number=947000000000&amp;sourceID=13","947000000000")</f>
        <v>947000000000</v>
      </c>
      <c r="AB32" s="4" t="str">
        <f>HYPERLINK("http://141.218.60.56/~jnz1568/getInfo.php?workbook=11_01.xlsx&amp;sheet=A0&amp;row=32&amp;col=28&amp;number=&amp;sourceID=13","")</f>
        <v/>
      </c>
      <c r="AC32" s="4" t="str">
        <f>HYPERLINK("http://141.218.60.56/~jnz1568/getInfo.php?workbook=11_01.xlsx&amp;sheet=A0&amp;row=32&amp;col=29&amp;number=&amp;sourceID=13","")</f>
        <v/>
      </c>
      <c r="AD32" s="4" t="str">
        <f>HYPERLINK("http://141.218.60.56/~jnz1568/getInfo.php?workbook=11_01.xlsx&amp;sheet=A0&amp;row=32&amp;col=30&amp;number=&amp;sourceID=13","")</f>
        <v/>
      </c>
      <c r="AE32" s="4" t="str">
        <f>HYPERLINK("http://141.218.60.56/~jnz1568/getInfo.php?workbook=11_01.xlsx&amp;sheet=A0&amp;row=32&amp;col=31&amp;number=&amp;sourceID=13","")</f>
        <v/>
      </c>
    </row>
    <row r="33" spans="1:31">
      <c r="A33" s="3">
        <v>11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HYPERLINK("http://141.218.60.56/~jnz1568/getInfo.php?workbook=11_01.xlsx&amp;sheet=A0&amp;row=33&amp;col=6&amp;number=&amp;sourceID=18","")</f>
        <v/>
      </c>
      <c r="G33" s="4" t="str">
        <f>HYPERLINK("http://141.218.60.56/~jnz1568/getInfo.php?workbook=11_01.xlsx&amp;sheet=A0&amp;row=33&amp;col=7&amp;number==&amp;sourceID=11","=")</f>
        <v>=</v>
      </c>
      <c r="H33" s="4" t="str">
        <f>HYPERLINK("http://141.218.60.56/~jnz1568/getInfo.php?workbook=11_01.xlsx&amp;sheet=A0&amp;row=33&amp;col=8&amp;number=&amp;sourceID=11","")</f>
        <v/>
      </c>
      <c r="I33" s="4" t="str">
        <f>HYPERLINK("http://141.218.60.56/~jnz1568/getInfo.php?workbook=11_01.xlsx&amp;sheet=A0&amp;row=33&amp;col=9&amp;number=&amp;sourceID=11","")</f>
        <v/>
      </c>
      <c r="J33" s="4" t="str">
        <f>HYPERLINK("http://141.218.60.56/~jnz1568/getInfo.php?workbook=11_01.xlsx&amp;sheet=A0&amp;row=33&amp;col=10&amp;number=0&amp;sourceID=11","0")</f>
        <v>0</v>
      </c>
      <c r="K33" s="4" t="str">
        <f>HYPERLINK("http://141.218.60.56/~jnz1568/getInfo.php?workbook=11_01.xlsx&amp;sheet=A0&amp;row=33&amp;col=11&amp;number=&amp;sourceID=11","")</f>
        <v/>
      </c>
      <c r="L33" s="4" t="str">
        <f>HYPERLINK("http://141.218.60.56/~jnz1568/getInfo.php?workbook=11_01.xlsx&amp;sheet=A0&amp;row=33&amp;col=12&amp;number=7.5936e-11&amp;sourceID=11","7.5936e-11")</f>
        <v>7.5936e-11</v>
      </c>
      <c r="M33" s="4" t="str">
        <f>HYPERLINK("http://141.218.60.56/~jnz1568/getInfo.php?workbook=11_01.xlsx&amp;sheet=A0&amp;row=33&amp;col=13&amp;number=&amp;sourceID=11","")</f>
        <v/>
      </c>
      <c r="N33" s="4" t="str">
        <f>HYPERLINK("http://141.218.60.56/~jnz1568/getInfo.php?workbook=11_01.xlsx&amp;sheet=A0&amp;row=33&amp;col=14&amp;number=7.5938e-11&amp;sourceID=12","7.5938e-11")</f>
        <v>7.5938e-11</v>
      </c>
      <c r="O33" s="4" t="str">
        <f>HYPERLINK("http://141.218.60.56/~jnz1568/getInfo.php?workbook=11_01.xlsx&amp;sheet=A0&amp;row=33&amp;col=15&amp;number=&amp;sourceID=12","")</f>
        <v/>
      </c>
      <c r="P33" s="4" t="str">
        <f>HYPERLINK("http://141.218.60.56/~jnz1568/getInfo.php?workbook=11_01.xlsx&amp;sheet=A0&amp;row=33&amp;col=16&amp;number=&amp;sourceID=12","")</f>
        <v/>
      </c>
      <c r="Q33" s="4" t="str">
        <f>HYPERLINK("http://141.218.60.56/~jnz1568/getInfo.php?workbook=11_01.xlsx&amp;sheet=A0&amp;row=33&amp;col=17&amp;number=0&amp;sourceID=12","0")</f>
        <v>0</v>
      </c>
      <c r="R33" s="4" t="str">
        <f>HYPERLINK("http://141.218.60.56/~jnz1568/getInfo.php?workbook=11_01.xlsx&amp;sheet=A0&amp;row=33&amp;col=18&amp;number=&amp;sourceID=12","")</f>
        <v/>
      </c>
      <c r="S33" s="4" t="str">
        <f>HYPERLINK("http://141.218.60.56/~jnz1568/getInfo.php?workbook=11_01.xlsx&amp;sheet=A0&amp;row=33&amp;col=19&amp;number=7.5938e-11&amp;sourceID=12","7.5938e-11")</f>
        <v>7.5938e-11</v>
      </c>
      <c r="T33" s="4" t="str">
        <f>HYPERLINK("http://141.218.60.56/~jnz1568/getInfo.php?workbook=11_01.xlsx&amp;sheet=A0&amp;row=33&amp;col=20&amp;number=&amp;sourceID=12","")</f>
        <v/>
      </c>
      <c r="U33" s="4" t="str">
        <f>HYPERLINK("http://141.218.60.56/~jnz1568/getInfo.php?workbook=11_01.xlsx&amp;sheet=A0&amp;row=33&amp;col=21&amp;number=7.594e-11&amp;sourceID=30","7.594e-11")</f>
        <v>7.594e-11</v>
      </c>
      <c r="V33" s="4" t="str">
        <f>HYPERLINK("http://141.218.60.56/~jnz1568/getInfo.php?workbook=11_01.xlsx&amp;sheet=A0&amp;row=33&amp;col=22&amp;number=&amp;sourceID=30","")</f>
        <v/>
      </c>
      <c r="W33" s="4" t="str">
        <f>HYPERLINK("http://141.218.60.56/~jnz1568/getInfo.php?workbook=11_01.xlsx&amp;sheet=A0&amp;row=33&amp;col=23&amp;number=&amp;sourceID=30","")</f>
        <v/>
      </c>
      <c r="X33" s="4" t="str">
        <f>HYPERLINK("http://141.218.60.56/~jnz1568/getInfo.php?workbook=11_01.xlsx&amp;sheet=A0&amp;row=33&amp;col=24&amp;number=&amp;sourceID=30","")</f>
        <v/>
      </c>
      <c r="Y33" s="4" t="str">
        <f>HYPERLINK("http://141.218.60.56/~jnz1568/getInfo.php?workbook=11_01.xlsx&amp;sheet=A0&amp;row=33&amp;col=25&amp;number=7.594e-11&amp;sourceID=30","7.594e-11")</f>
        <v>7.594e-11</v>
      </c>
      <c r="Z33" s="4" t="str">
        <f>HYPERLINK("http://141.218.60.56/~jnz1568/getInfo.php?workbook=11_01.xlsx&amp;sheet=A0&amp;row=33&amp;col=26&amp;number=&amp;sourceID=13","")</f>
        <v/>
      </c>
      <c r="AA33" s="4" t="str">
        <f>HYPERLINK("http://141.218.60.56/~jnz1568/getInfo.php?workbook=11_01.xlsx&amp;sheet=A0&amp;row=33&amp;col=27&amp;number=&amp;sourceID=13","")</f>
        <v/>
      </c>
      <c r="AB33" s="4" t="str">
        <f>HYPERLINK("http://141.218.60.56/~jnz1568/getInfo.php?workbook=11_01.xlsx&amp;sheet=A0&amp;row=33&amp;col=28&amp;number=&amp;sourceID=13","")</f>
        <v/>
      </c>
      <c r="AC33" s="4" t="str">
        <f>HYPERLINK("http://141.218.60.56/~jnz1568/getInfo.php?workbook=11_01.xlsx&amp;sheet=A0&amp;row=33&amp;col=29&amp;number=&amp;sourceID=13","")</f>
        <v/>
      </c>
      <c r="AD33" s="4" t="str">
        <f>HYPERLINK("http://141.218.60.56/~jnz1568/getInfo.php?workbook=11_01.xlsx&amp;sheet=A0&amp;row=33&amp;col=30&amp;number=&amp;sourceID=13","")</f>
        <v/>
      </c>
      <c r="AE33" s="4" t="str">
        <f>HYPERLINK("http://141.218.60.56/~jnz1568/getInfo.php?workbook=11_01.xlsx&amp;sheet=A0&amp;row=33&amp;col=31&amp;number=&amp;sourceID=13","")</f>
        <v/>
      </c>
    </row>
    <row r="34" spans="1:31">
      <c r="A34" s="3">
        <v>11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HYPERLINK("http://141.218.60.56/~jnz1568/getInfo.php?workbook=11_01.xlsx&amp;sheet=A0&amp;row=34&amp;col=6&amp;number=&amp;sourceID=18","")</f>
        <v/>
      </c>
      <c r="G34" s="4" t="str">
        <f>HYPERLINK("http://141.218.60.56/~jnz1568/getInfo.php?workbook=11_01.xlsx&amp;sheet=A0&amp;row=34&amp;col=7&amp;number==&amp;sourceID=11","=")</f>
        <v>=</v>
      </c>
      <c r="H34" s="4" t="str">
        <f>HYPERLINK("http://141.218.60.56/~jnz1568/getInfo.php?workbook=11_01.xlsx&amp;sheet=A0&amp;row=34&amp;col=8&amp;number=&amp;sourceID=11","")</f>
        <v/>
      </c>
      <c r="I34" s="4" t="str">
        <f>HYPERLINK("http://141.218.60.56/~jnz1568/getInfo.php?workbook=11_01.xlsx&amp;sheet=A0&amp;row=34&amp;col=9&amp;number=1.3235e-06&amp;sourceID=11","1.3235e-06")</f>
        <v>1.3235e-06</v>
      </c>
      <c r="J34" s="4" t="str">
        <f>HYPERLINK("http://141.218.60.56/~jnz1568/getInfo.php?workbook=11_01.xlsx&amp;sheet=A0&amp;row=34&amp;col=10&amp;number=&amp;sourceID=11","")</f>
        <v/>
      </c>
      <c r="K34" s="4" t="str">
        <f>HYPERLINK("http://141.218.60.56/~jnz1568/getInfo.php?workbook=11_01.xlsx&amp;sheet=A0&amp;row=34&amp;col=11&amp;number=&amp;sourceID=11","")</f>
        <v/>
      </c>
      <c r="L34" s="4" t="str">
        <f>HYPERLINK("http://141.218.60.56/~jnz1568/getInfo.php?workbook=11_01.xlsx&amp;sheet=A0&amp;row=34&amp;col=12&amp;number=&amp;sourceID=11","")</f>
        <v/>
      </c>
      <c r="M34" s="4" t="str">
        <f>HYPERLINK("http://141.218.60.56/~jnz1568/getInfo.php?workbook=11_01.xlsx&amp;sheet=A0&amp;row=34&amp;col=13&amp;number=0&amp;sourceID=11","0")</f>
        <v>0</v>
      </c>
      <c r="N34" s="4" t="str">
        <f>HYPERLINK("http://141.218.60.56/~jnz1568/getInfo.php?workbook=11_01.xlsx&amp;sheet=A0&amp;row=34&amp;col=14&amp;number=1.3235e-06&amp;sourceID=12","1.3235e-06")</f>
        <v>1.3235e-06</v>
      </c>
      <c r="O34" s="4" t="str">
        <f>HYPERLINK("http://141.218.60.56/~jnz1568/getInfo.php?workbook=11_01.xlsx&amp;sheet=A0&amp;row=34&amp;col=15&amp;number=&amp;sourceID=12","")</f>
        <v/>
      </c>
      <c r="P34" s="4" t="str">
        <f>HYPERLINK("http://141.218.60.56/~jnz1568/getInfo.php?workbook=11_01.xlsx&amp;sheet=A0&amp;row=34&amp;col=16&amp;number=1.3235e-06&amp;sourceID=12","1.3235e-06")</f>
        <v>1.3235e-06</v>
      </c>
      <c r="Q34" s="4" t="str">
        <f>HYPERLINK("http://141.218.60.56/~jnz1568/getInfo.php?workbook=11_01.xlsx&amp;sheet=A0&amp;row=34&amp;col=17&amp;number=&amp;sourceID=12","")</f>
        <v/>
      </c>
      <c r="R34" s="4" t="str">
        <f>HYPERLINK("http://141.218.60.56/~jnz1568/getInfo.php?workbook=11_01.xlsx&amp;sheet=A0&amp;row=34&amp;col=18&amp;number=&amp;sourceID=12","")</f>
        <v/>
      </c>
      <c r="S34" s="4" t="str">
        <f>HYPERLINK("http://141.218.60.56/~jnz1568/getInfo.php?workbook=11_01.xlsx&amp;sheet=A0&amp;row=34&amp;col=19&amp;number=&amp;sourceID=12","")</f>
        <v/>
      </c>
      <c r="T34" s="4" t="str">
        <f>HYPERLINK("http://141.218.60.56/~jnz1568/getInfo.php?workbook=11_01.xlsx&amp;sheet=A0&amp;row=34&amp;col=20&amp;number=0&amp;sourceID=12","0")</f>
        <v>0</v>
      </c>
      <c r="U34" s="4" t="str">
        <f>HYPERLINK("http://141.218.60.56/~jnz1568/getInfo.php?workbook=11_01.xlsx&amp;sheet=A0&amp;row=34&amp;col=21&amp;number=1.323e-06&amp;sourceID=30","1.323e-06")</f>
        <v>1.323e-06</v>
      </c>
      <c r="V34" s="4" t="str">
        <f>HYPERLINK("http://141.218.60.56/~jnz1568/getInfo.php?workbook=11_01.xlsx&amp;sheet=A0&amp;row=34&amp;col=22&amp;number=&amp;sourceID=30","")</f>
        <v/>
      </c>
      <c r="W34" s="4" t="str">
        <f>HYPERLINK("http://141.218.60.56/~jnz1568/getInfo.php?workbook=11_01.xlsx&amp;sheet=A0&amp;row=34&amp;col=23&amp;number=1.323e-06&amp;sourceID=30","1.323e-06")</f>
        <v>1.323e-06</v>
      </c>
      <c r="X34" s="4" t="str">
        <f>HYPERLINK("http://141.218.60.56/~jnz1568/getInfo.php?workbook=11_01.xlsx&amp;sheet=A0&amp;row=34&amp;col=24&amp;number=&amp;sourceID=30","")</f>
        <v/>
      </c>
      <c r="Y34" s="4" t="str">
        <f>HYPERLINK("http://141.218.60.56/~jnz1568/getInfo.php?workbook=11_01.xlsx&amp;sheet=A0&amp;row=34&amp;col=25&amp;number=&amp;sourceID=30","")</f>
        <v/>
      </c>
      <c r="Z34" s="4" t="str">
        <f>HYPERLINK("http://141.218.60.56/~jnz1568/getInfo.php?workbook=11_01.xlsx&amp;sheet=A0&amp;row=34&amp;col=26&amp;number=&amp;sourceID=13","")</f>
        <v/>
      </c>
      <c r="AA34" s="4" t="str">
        <f>HYPERLINK("http://141.218.60.56/~jnz1568/getInfo.php?workbook=11_01.xlsx&amp;sheet=A0&amp;row=34&amp;col=27&amp;number=&amp;sourceID=13","")</f>
        <v/>
      </c>
      <c r="AB34" s="4" t="str">
        <f>HYPERLINK("http://141.218.60.56/~jnz1568/getInfo.php?workbook=11_01.xlsx&amp;sheet=A0&amp;row=34&amp;col=28&amp;number=&amp;sourceID=13","")</f>
        <v/>
      </c>
      <c r="AC34" s="4" t="str">
        <f>HYPERLINK("http://141.218.60.56/~jnz1568/getInfo.php?workbook=11_01.xlsx&amp;sheet=A0&amp;row=34&amp;col=29&amp;number=&amp;sourceID=13","")</f>
        <v/>
      </c>
      <c r="AD34" s="4" t="str">
        <f>HYPERLINK("http://141.218.60.56/~jnz1568/getInfo.php?workbook=11_01.xlsx&amp;sheet=A0&amp;row=34&amp;col=30&amp;number=&amp;sourceID=13","")</f>
        <v/>
      </c>
      <c r="AE34" s="4" t="str">
        <f>HYPERLINK("http://141.218.60.56/~jnz1568/getInfo.php?workbook=11_01.xlsx&amp;sheet=A0&amp;row=34&amp;col=31&amp;number=&amp;sourceID=13","")</f>
        <v/>
      </c>
    </row>
    <row r="35" spans="1:31">
      <c r="A35" s="3">
        <v>11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HYPERLINK("http://141.218.60.56/~jnz1568/getInfo.php?workbook=11_01.xlsx&amp;sheet=A0&amp;row=35&amp;col=6&amp;number=&amp;sourceID=18","")</f>
        <v/>
      </c>
      <c r="G35" s="4" t="str">
        <f>HYPERLINK("http://141.218.60.56/~jnz1568/getInfo.php?workbook=11_01.xlsx&amp;sheet=A0&amp;row=35&amp;col=7&amp;number==&amp;sourceID=11","=")</f>
        <v>=</v>
      </c>
      <c r="H35" s="4" t="str">
        <f>HYPERLINK("http://141.218.60.56/~jnz1568/getInfo.php?workbook=11_01.xlsx&amp;sheet=A0&amp;row=35&amp;col=8&amp;number=&amp;sourceID=11","")</f>
        <v/>
      </c>
      <c r="I35" s="4" t="str">
        <f>HYPERLINK("http://141.218.60.56/~jnz1568/getInfo.php?workbook=11_01.xlsx&amp;sheet=A0&amp;row=35&amp;col=9&amp;number=2.8601e-10&amp;sourceID=11","2.8601e-10")</f>
        <v>2.8601e-10</v>
      </c>
      <c r="J35" s="4" t="str">
        <f>HYPERLINK("http://141.218.60.56/~jnz1568/getInfo.php?workbook=11_01.xlsx&amp;sheet=A0&amp;row=35&amp;col=10&amp;number=&amp;sourceID=11","")</f>
        <v/>
      </c>
      <c r="K35" s="4" t="str">
        <f>HYPERLINK("http://141.218.60.56/~jnz1568/getInfo.php?workbook=11_01.xlsx&amp;sheet=A0&amp;row=35&amp;col=11&amp;number=0.0015941&amp;sourceID=11","0.0015941")</f>
        <v>0.0015941</v>
      </c>
      <c r="L35" s="4" t="str">
        <f>HYPERLINK("http://141.218.60.56/~jnz1568/getInfo.php?workbook=11_01.xlsx&amp;sheet=A0&amp;row=35&amp;col=12&amp;number=&amp;sourceID=11","")</f>
        <v/>
      </c>
      <c r="M35" s="4" t="str">
        <f>HYPERLINK("http://141.218.60.56/~jnz1568/getInfo.php?workbook=11_01.xlsx&amp;sheet=A0&amp;row=35&amp;col=13&amp;number=0&amp;sourceID=11","0")</f>
        <v>0</v>
      </c>
      <c r="N35" s="4" t="str">
        <f>HYPERLINK("http://141.218.60.56/~jnz1568/getInfo.php?workbook=11_01.xlsx&amp;sheet=A0&amp;row=35&amp;col=14&amp;number=0.0015941&amp;sourceID=12","0.0015941")</f>
        <v>0.0015941</v>
      </c>
      <c r="O35" s="4" t="str">
        <f>HYPERLINK("http://141.218.60.56/~jnz1568/getInfo.php?workbook=11_01.xlsx&amp;sheet=A0&amp;row=35&amp;col=15&amp;number=&amp;sourceID=12","")</f>
        <v/>
      </c>
      <c r="P35" s="4" t="str">
        <f>HYPERLINK("http://141.218.60.56/~jnz1568/getInfo.php?workbook=11_01.xlsx&amp;sheet=A0&amp;row=35&amp;col=16&amp;number=2.8602e-10&amp;sourceID=12","2.8602e-10")</f>
        <v>2.8602e-10</v>
      </c>
      <c r="Q35" s="4" t="str">
        <f>HYPERLINK("http://141.218.60.56/~jnz1568/getInfo.php?workbook=11_01.xlsx&amp;sheet=A0&amp;row=35&amp;col=17&amp;number=&amp;sourceID=12","")</f>
        <v/>
      </c>
      <c r="R35" s="4" t="str">
        <f>HYPERLINK("http://141.218.60.56/~jnz1568/getInfo.php?workbook=11_01.xlsx&amp;sheet=A0&amp;row=35&amp;col=18&amp;number=0.0015941&amp;sourceID=12","0.0015941")</f>
        <v>0.0015941</v>
      </c>
      <c r="S35" s="4" t="str">
        <f>HYPERLINK("http://141.218.60.56/~jnz1568/getInfo.php?workbook=11_01.xlsx&amp;sheet=A0&amp;row=35&amp;col=19&amp;number=&amp;sourceID=12","")</f>
        <v/>
      </c>
      <c r="T35" s="4" t="str">
        <f>HYPERLINK("http://141.218.60.56/~jnz1568/getInfo.php?workbook=11_01.xlsx&amp;sheet=A0&amp;row=35&amp;col=20&amp;number=0&amp;sourceID=12","0")</f>
        <v>0</v>
      </c>
      <c r="U35" s="4" t="str">
        <f>HYPERLINK("http://141.218.60.56/~jnz1568/getInfo.php?workbook=11_01.xlsx&amp;sheet=A0&amp;row=35&amp;col=21&amp;number=0.001594000286&amp;sourceID=30","0.001594000286")</f>
        <v>0.001594000286</v>
      </c>
      <c r="V35" s="4" t="str">
        <f>HYPERLINK("http://141.218.60.56/~jnz1568/getInfo.php?workbook=11_01.xlsx&amp;sheet=A0&amp;row=35&amp;col=22&amp;number=&amp;sourceID=30","")</f>
        <v/>
      </c>
      <c r="W35" s="4" t="str">
        <f>HYPERLINK("http://141.218.60.56/~jnz1568/getInfo.php?workbook=11_01.xlsx&amp;sheet=A0&amp;row=35&amp;col=23&amp;number=2.86e-10&amp;sourceID=30","2.86e-10")</f>
        <v>2.86e-10</v>
      </c>
      <c r="X35" s="4" t="str">
        <f>HYPERLINK("http://141.218.60.56/~jnz1568/getInfo.php?workbook=11_01.xlsx&amp;sheet=A0&amp;row=35&amp;col=24&amp;number=0.001594&amp;sourceID=30","0.001594")</f>
        <v>0.001594</v>
      </c>
      <c r="Y35" s="4" t="str">
        <f>HYPERLINK("http://141.218.60.56/~jnz1568/getInfo.php?workbook=11_01.xlsx&amp;sheet=A0&amp;row=35&amp;col=25&amp;number=&amp;sourceID=30","")</f>
        <v/>
      </c>
      <c r="Z35" s="4" t="str">
        <f>HYPERLINK("http://141.218.60.56/~jnz1568/getInfo.php?workbook=11_01.xlsx&amp;sheet=A0&amp;row=35&amp;col=26&amp;number==SUM(AA35:AE35)&amp;sourceID=13","=SUM(AA35:AE35)")</f>
        <v>=SUM(AA35:AE35)</v>
      </c>
      <c r="AA35" s="4" t="str">
        <f>HYPERLINK("http://141.218.60.56/~jnz1568/getInfo.php?workbook=11_01.xlsx&amp;sheet=A0&amp;row=35&amp;col=27&amp;number=&amp;sourceID=13","")</f>
        <v/>
      </c>
      <c r="AB35" s="4" t="str">
        <f>HYPERLINK("http://141.218.60.56/~jnz1568/getInfo.php?workbook=11_01.xlsx&amp;sheet=A0&amp;row=35&amp;col=28&amp;number=2.86e-10&amp;sourceID=13","2.86e-10")</f>
        <v>2.86e-10</v>
      </c>
      <c r="AC35" s="4" t="str">
        <f>HYPERLINK("http://141.218.60.56/~jnz1568/getInfo.php?workbook=11_01.xlsx&amp;sheet=A0&amp;row=35&amp;col=29&amp;number=&amp;sourceID=13","")</f>
        <v/>
      </c>
      <c r="AD35" s="4" t="str">
        <f>HYPERLINK("http://141.218.60.56/~jnz1568/getInfo.php?workbook=11_01.xlsx&amp;sheet=A0&amp;row=35&amp;col=30&amp;number=0.00159&amp;sourceID=13","0.00159")</f>
        <v>0.00159</v>
      </c>
      <c r="AE35" s="4" t="str">
        <f>HYPERLINK("http://141.218.60.56/~jnz1568/getInfo.php?workbook=11_01.xlsx&amp;sheet=A0&amp;row=35&amp;col=31&amp;number=&amp;sourceID=13","")</f>
        <v/>
      </c>
    </row>
    <row r="36" spans="1:31">
      <c r="A36" s="3">
        <v>11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HYPERLINK("http://141.218.60.56/~jnz1568/getInfo.php?workbook=11_01.xlsx&amp;sheet=A0&amp;row=36&amp;col=6&amp;number=&amp;sourceID=18","")</f>
        <v/>
      </c>
      <c r="G36" s="4" t="str">
        <f>HYPERLINK("http://141.218.60.56/~jnz1568/getInfo.php?workbook=11_01.xlsx&amp;sheet=A0&amp;row=36&amp;col=7&amp;number==&amp;sourceID=11","=")</f>
        <v>=</v>
      </c>
      <c r="H36" s="4" t="str">
        <f>HYPERLINK("http://141.218.60.56/~jnz1568/getInfo.php?workbook=11_01.xlsx&amp;sheet=A0&amp;row=36&amp;col=8&amp;number=100.17&amp;sourceID=11","100.17")</f>
        <v>100.17</v>
      </c>
      <c r="I36" s="4" t="str">
        <f>HYPERLINK("http://141.218.60.56/~jnz1568/getInfo.php?workbook=11_01.xlsx&amp;sheet=A0&amp;row=36&amp;col=9&amp;number=&amp;sourceID=11","")</f>
        <v/>
      </c>
      <c r="J36" s="4" t="str">
        <f>HYPERLINK("http://141.218.60.56/~jnz1568/getInfo.php?workbook=11_01.xlsx&amp;sheet=A0&amp;row=36&amp;col=10&amp;number=0&amp;sourceID=11","0")</f>
        <v>0</v>
      </c>
      <c r="K36" s="4" t="str">
        <f>HYPERLINK("http://141.218.60.56/~jnz1568/getInfo.php?workbook=11_01.xlsx&amp;sheet=A0&amp;row=36&amp;col=11&amp;number=&amp;sourceID=11","")</f>
        <v/>
      </c>
      <c r="L36" s="4" t="str">
        <f>HYPERLINK("http://141.218.60.56/~jnz1568/getInfo.php?workbook=11_01.xlsx&amp;sheet=A0&amp;row=36&amp;col=12&amp;number=4.01e-13&amp;sourceID=11","4.01e-13")</f>
        <v>4.01e-13</v>
      </c>
      <c r="M36" s="4" t="str">
        <f>HYPERLINK("http://141.218.60.56/~jnz1568/getInfo.php?workbook=11_01.xlsx&amp;sheet=A0&amp;row=36&amp;col=13&amp;number=&amp;sourceID=11","")</f>
        <v/>
      </c>
      <c r="N36" s="4" t="str">
        <f>HYPERLINK("http://141.218.60.56/~jnz1568/getInfo.php?workbook=11_01.xlsx&amp;sheet=A0&amp;row=36&amp;col=14&amp;number=100.17&amp;sourceID=12","100.17")</f>
        <v>100.17</v>
      </c>
      <c r="O36" s="4" t="str">
        <f>HYPERLINK("http://141.218.60.56/~jnz1568/getInfo.php?workbook=11_01.xlsx&amp;sheet=A0&amp;row=36&amp;col=15&amp;number=100.17&amp;sourceID=12","100.17")</f>
        <v>100.17</v>
      </c>
      <c r="P36" s="4" t="str">
        <f>HYPERLINK("http://141.218.60.56/~jnz1568/getInfo.php?workbook=11_01.xlsx&amp;sheet=A0&amp;row=36&amp;col=16&amp;number=&amp;sourceID=12","")</f>
        <v/>
      </c>
      <c r="Q36" s="4" t="str">
        <f>HYPERLINK("http://141.218.60.56/~jnz1568/getInfo.php?workbook=11_01.xlsx&amp;sheet=A0&amp;row=36&amp;col=17&amp;number=0&amp;sourceID=12","0")</f>
        <v>0</v>
      </c>
      <c r="R36" s="4" t="str">
        <f>HYPERLINK("http://141.218.60.56/~jnz1568/getInfo.php?workbook=11_01.xlsx&amp;sheet=A0&amp;row=36&amp;col=18&amp;number=&amp;sourceID=12","")</f>
        <v/>
      </c>
      <c r="S36" s="4" t="str">
        <f>HYPERLINK("http://141.218.60.56/~jnz1568/getInfo.php?workbook=11_01.xlsx&amp;sheet=A0&amp;row=36&amp;col=19&amp;number=4.01e-13&amp;sourceID=12","4.01e-13")</f>
        <v>4.01e-13</v>
      </c>
      <c r="T36" s="4" t="str">
        <f>HYPERLINK("http://141.218.60.56/~jnz1568/getInfo.php?workbook=11_01.xlsx&amp;sheet=A0&amp;row=36&amp;col=20&amp;number=&amp;sourceID=12","")</f>
        <v/>
      </c>
      <c r="U36" s="4" t="str">
        <f>HYPERLINK("http://141.218.60.56/~jnz1568/getInfo.php?workbook=11_01.xlsx&amp;sheet=A0&amp;row=36&amp;col=21&amp;number=100.2&amp;sourceID=30","100.2")</f>
        <v>100.2</v>
      </c>
      <c r="V36" s="4" t="str">
        <f>HYPERLINK("http://141.218.60.56/~jnz1568/getInfo.php?workbook=11_01.xlsx&amp;sheet=A0&amp;row=36&amp;col=22&amp;number=100.2&amp;sourceID=30","100.2")</f>
        <v>100.2</v>
      </c>
      <c r="W36" s="4" t="str">
        <f>HYPERLINK("http://141.218.60.56/~jnz1568/getInfo.php?workbook=11_01.xlsx&amp;sheet=A0&amp;row=36&amp;col=23&amp;number=&amp;sourceID=30","")</f>
        <v/>
      </c>
      <c r="X36" s="4" t="str">
        <f>HYPERLINK("http://141.218.60.56/~jnz1568/getInfo.php?workbook=11_01.xlsx&amp;sheet=A0&amp;row=36&amp;col=24&amp;number=&amp;sourceID=30","")</f>
        <v/>
      </c>
      <c r="Y36" s="4" t="str">
        <f>HYPERLINK("http://141.218.60.56/~jnz1568/getInfo.php?workbook=11_01.xlsx&amp;sheet=A0&amp;row=36&amp;col=25&amp;number=4.01e-13&amp;sourceID=30","4.01e-13")</f>
        <v>4.01e-13</v>
      </c>
      <c r="Z36" s="4" t="str">
        <f>HYPERLINK("http://141.218.60.56/~jnz1568/getInfo.php?workbook=11_01.xlsx&amp;sheet=A0&amp;row=36&amp;col=26&amp;number==&amp;sourceID=13","=")</f>
        <v>=</v>
      </c>
      <c r="AA36" s="4" t="str">
        <f>HYPERLINK("http://141.218.60.56/~jnz1568/getInfo.php?workbook=11_01.xlsx&amp;sheet=A0&amp;row=36&amp;col=27&amp;number=99.6&amp;sourceID=13","99.6")</f>
        <v>99.6</v>
      </c>
      <c r="AB36" s="4" t="str">
        <f>HYPERLINK("http://141.218.60.56/~jnz1568/getInfo.php?workbook=11_01.xlsx&amp;sheet=A0&amp;row=36&amp;col=28&amp;number=&amp;sourceID=13","")</f>
        <v/>
      </c>
      <c r="AC36" s="4" t="str">
        <f>HYPERLINK("http://141.218.60.56/~jnz1568/getInfo.php?workbook=11_01.xlsx&amp;sheet=A0&amp;row=36&amp;col=29&amp;number=&amp;sourceID=13","")</f>
        <v/>
      </c>
      <c r="AD36" s="4" t="str">
        <f>HYPERLINK("http://141.218.60.56/~jnz1568/getInfo.php?workbook=11_01.xlsx&amp;sheet=A0&amp;row=36&amp;col=30&amp;number=&amp;sourceID=13","")</f>
        <v/>
      </c>
      <c r="AE36" s="4" t="str">
        <f>HYPERLINK("http://141.218.60.56/~jnz1568/getInfo.php?workbook=11_01.xlsx&amp;sheet=A0&amp;row=36&amp;col=31&amp;number=&amp;sourceID=13","")</f>
        <v/>
      </c>
    </row>
    <row r="37" spans="1:31">
      <c r="A37" s="3">
        <v>11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HYPERLINK("http://141.218.60.56/~jnz1568/getInfo.php?workbook=11_01.xlsx&amp;sheet=A0&amp;row=37&amp;col=6&amp;number=&amp;sourceID=18","")</f>
        <v/>
      </c>
      <c r="G37" s="4" t="str">
        <f>HYPERLINK("http://141.218.60.56/~jnz1568/getInfo.php?workbook=11_01.xlsx&amp;sheet=A0&amp;row=37&amp;col=7&amp;number==&amp;sourceID=11","=")</f>
        <v>=</v>
      </c>
      <c r="H37" s="4" t="str">
        <f>HYPERLINK("http://141.218.60.56/~jnz1568/getInfo.php?workbook=11_01.xlsx&amp;sheet=A0&amp;row=37&amp;col=8&amp;number=996980000000&amp;sourceID=11","996980000000")</f>
        <v>996980000000</v>
      </c>
      <c r="I37" s="4" t="str">
        <f>HYPERLINK("http://141.218.60.56/~jnz1568/getInfo.php?workbook=11_01.xlsx&amp;sheet=A0&amp;row=37&amp;col=9&amp;number=&amp;sourceID=11","")</f>
        <v/>
      </c>
      <c r="J37" s="4" t="str">
        <f>HYPERLINK("http://141.218.60.56/~jnz1568/getInfo.php?workbook=11_01.xlsx&amp;sheet=A0&amp;row=37&amp;col=10&amp;number=&amp;sourceID=11","")</f>
        <v/>
      </c>
      <c r="K37" s="4" t="str">
        <f>HYPERLINK("http://141.218.60.56/~jnz1568/getInfo.php?workbook=11_01.xlsx&amp;sheet=A0&amp;row=37&amp;col=11&amp;number=&amp;sourceID=11","")</f>
        <v/>
      </c>
      <c r="L37" s="4" t="str">
        <f>HYPERLINK("http://141.218.60.56/~jnz1568/getInfo.php?workbook=11_01.xlsx&amp;sheet=A0&amp;row=37&amp;col=12&amp;number=&amp;sourceID=11","")</f>
        <v/>
      </c>
      <c r="M37" s="4" t="str">
        <f>HYPERLINK("http://141.218.60.56/~jnz1568/getInfo.php?workbook=11_01.xlsx&amp;sheet=A0&amp;row=37&amp;col=13&amp;number=&amp;sourceID=11","")</f>
        <v/>
      </c>
      <c r="N37" s="4" t="str">
        <f>HYPERLINK("http://141.218.60.56/~jnz1568/getInfo.php?workbook=11_01.xlsx&amp;sheet=A0&amp;row=37&amp;col=14&amp;number=997010000000&amp;sourceID=12","997010000000")</f>
        <v>997010000000</v>
      </c>
      <c r="O37" s="4" t="str">
        <f>HYPERLINK("http://141.218.60.56/~jnz1568/getInfo.php?workbook=11_01.xlsx&amp;sheet=A0&amp;row=37&amp;col=15&amp;number=997010000000&amp;sourceID=12","997010000000")</f>
        <v>997010000000</v>
      </c>
      <c r="P37" s="4" t="str">
        <f>HYPERLINK("http://141.218.60.56/~jnz1568/getInfo.php?workbook=11_01.xlsx&amp;sheet=A0&amp;row=37&amp;col=16&amp;number=&amp;sourceID=12","")</f>
        <v/>
      </c>
      <c r="Q37" s="4" t="str">
        <f>HYPERLINK("http://141.218.60.56/~jnz1568/getInfo.php?workbook=11_01.xlsx&amp;sheet=A0&amp;row=37&amp;col=17&amp;number=&amp;sourceID=12","")</f>
        <v/>
      </c>
      <c r="R37" s="4" t="str">
        <f>HYPERLINK("http://141.218.60.56/~jnz1568/getInfo.php?workbook=11_01.xlsx&amp;sheet=A0&amp;row=37&amp;col=18&amp;number=&amp;sourceID=12","")</f>
        <v/>
      </c>
      <c r="S37" s="4" t="str">
        <f>HYPERLINK("http://141.218.60.56/~jnz1568/getInfo.php?workbook=11_01.xlsx&amp;sheet=A0&amp;row=37&amp;col=19&amp;number=&amp;sourceID=12","")</f>
        <v/>
      </c>
      <c r="T37" s="4" t="str">
        <f>HYPERLINK("http://141.218.60.56/~jnz1568/getInfo.php?workbook=11_01.xlsx&amp;sheet=A0&amp;row=37&amp;col=20&amp;number=&amp;sourceID=12","")</f>
        <v/>
      </c>
      <c r="U37" s="4" t="str">
        <f>HYPERLINK("http://141.218.60.56/~jnz1568/getInfo.php?workbook=11_01.xlsx&amp;sheet=A0&amp;row=37&amp;col=21&amp;number=997000000000&amp;sourceID=30","997000000000")</f>
        <v>997000000000</v>
      </c>
      <c r="V37" s="4" t="str">
        <f>HYPERLINK("http://141.218.60.56/~jnz1568/getInfo.php?workbook=11_01.xlsx&amp;sheet=A0&amp;row=37&amp;col=22&amp;number=997000000000&amp;sourceID=30","997000000000")</f>
        <v>997000000000</v>
      </c>
      <c r="W37" s="4" t="str">
        <f>HYPERLINK("http://141.218.60.56/~jnz1568/getInfo.php?workbook=11_01.xlsx&amp;sheet=A0&amp;row=37&amp;col=23&amp;number=&amp;sourceID=30","")</f>
        <v/>
      </c>
      <c r="X37" s="4" t="str">
        <f>HYPERLINK("http://141.218.60.56/~jnz1568/getInfo.php?workbook=11_01.xlsx&amp;sheet=A0&amp;row=37&amp;col=24&amp;number=&amp;sourceID=30","")</f>
        <v/>
      </c>
      <c r="Y37" s="4" t="str">
        <f>HYPERLINK("http://141.218.60.56/~jnz1568/getInfo.php?workbook=11_01.xlsx&amp;sheet=A0&amp;row=37&amp;col=25&amp;number=&amp;sourceID=30","")</f>
        <v/>
      </c>
      <c r="Z37" s="4" t="str">
        <f>HYPERLINK("http://141.218.60.56/~jnz1568/getInfo.php?workbook=11_01.xlsx&amp;sheet=A0&amp;row=37&amp;col=26&amp;number==&amp;sourceID=13","=")</f>
        <v>=</v>
      </c>
      <c r="AA37" s="4" t="str">
        <f>HYPERLINK("http://141.218.60.56/~jnz1568/getInfo.php?workbook=11_01.xlsx&amp;sheet=A0&amp;row=37&amp;col=27&amp;number=961000000000&amp;sourceID=13","961000000000")</f>
        <v>961000000000</v>
      </c>
      <c r="AB37" s="4" t="str">
        <f>HYPERLINK("http://141.218.60.56/~jnz1568/getInfo.php?workbook=11_01.xlsx&amp;sheet=A0&amp;row=37&amp;col=28&amp;number=&amp;sourceID=13","")</f>
        <v/>
      </c>
      <c r="AC37" s="4" t="str">
        <f>HYPERLINK("http://141.218.60.56/~jnz1568/getInfo.php?workbook=11_01.xlsx&amp;sheet=A0&amp;row=37&amp;col=29&amp;number=&amp;sourceID=13","")</f>
        <v/>
      </c>
      <c r="AD37" s="4" t="str">
        <f>HYPERLINK("http://141.218.60.56/~jnz1568/getInfo.php?workbook=11_01.xlsx&amp;sheet=A0&amp;row=37&amp;col=30&amp;number=&amp;sourceID=13","")</f>
        <v/>
      </c>
      <c r="AE37" s="4" t="str">
        <f>HYPERLINK("http://141.218.60.56/~jnz1568/getInfo.php?workbook=11_01.xlsx&amp;sheet=A0&amp;row=37&amp;col=31&amp;number=&amp;sourceID=13","")</f>
        <v/>
      </c>
    </row>
    <row r="38" spans="1:31">
      <c r="A38" s="3">
        <v>11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HYPERLINK("http://141.218.60.56/~jnz1568/getInfo.php?workbook=11_01.xlsx&amp;sheet=A0&amp;row=38&amp;col=6&amp;number=&amp;sourceID=18","")</f>
        <v/>
      </c>
      <c r="G38" s="4" t="str">
        <f>HYPERLINK("http://141.218.60.56/~jnz1568/getInfo.php?workbook=11_01.xlsx&amp;sheet=A0&amp;row=38&amp;col=7&amp;number==&amp;sourceID=11","=")</f>
        <v>=</v>
      </c>
      <c r="H38" s="4" t="str">
        <f>HYPERLINK("http://141.218.60.56/~jnz1568/getInfo.php?workbook=11_01.xlsx&amp;sheet=A0&amp;row=38&amp;col=8&amp;number=&amp;sourceID=11","")</f>
        <v/>
      </c>
      <c r="I38" s="4" t="str">
        <f>HYPERLINK("http://141.218.60.56/~jnz1568/getInfo.php?workbook=11_01.xlsx&amp;sheet=A0&amp;row=38&amp;col=9&amp;number=&amp;sourceID=11","")</f>
        <v/>
      </c>
      <c r="J38" s="4" t="str">
        <f>HYPERLINK("http://141.218.60.56/~jnz1568/getInfo.php?workbook=11_01.xlsx&amp;sheet=A0&amp;row=38&amp;col=10&amp;number=&amp;sourceID=11","")</f>
        <v/>
      </c>
      <c r="K38" s="4" t="str">
        <f>HYPERLINK("http://141.218.60.56/~jnz1568/getInfo.php?workbook=11_01.xlsx&amp;sheet=A0&amp;row=38&amp;col=11&amp;number=10.087&amp;sourceID=11","10.087")</f>
        <v>10.087</v>
      </c>
      <c r="L38" s="4" t="str">
        <f>HYPERLINK("http://141.218.60.56/~jnz1568/getInfo.php?workbook=11_01.xlsx&amp;sheet=A0&amp;row=38&amp;col=12&amp;number=&amp;sourceID=11","")</f>
        <v/>
      </c>
      <c r="M38" s="4" t="str">
        <f>HYPERLINK("http://141.218.60.56/~jnz1568/getInfo.php?workbook=11_01.xlsx&amp;sheet=A0&amp;row=38&amp;col=13&amp;number=&amp;sourceID=11","")</f>
        <v/>
      </c>
      <c r="N38" s="4" t="str">
        <f>HYPERLINK("http://141.218.60.56/~jnz1568/getInfo.php?workbook=11_01.xlsx&amp;sheet=A0&amp;row=38&amp;col=14&amp;number=10.087&amp;sourceID=12","10.087")</f>
        <v>10.087</v>
      </c>
      <c r="O38" s="4" t="str">
        <f>HYPERLINK("http://141.218.60.56/~jnz1568/getInfo.php?workbook=11_01.xlsx&amp;sheet=A0&amp;row=38&amp;col=15&amp;number=&amp;sourceID=12","")</f>
        <v/>
      </c>
      <c r="P38" s="4" t="str">
        <f>HYPERLINK("http://141.218.60.56/~jnz1568/getInfo.php?workbook=11_01.xlsx&amp;sheet=A0&amp;row=38&amp;col=16&amp;number=&amp;sourceID=12","")</f>
        <v/>
      </c>
      <c r="Q38" s="4" t="str">
        <f>HYPERLINK("http://141.218.60.56/~jnz1568/getInfo.php?workbook=11_01.xlsx&amp;sheet=A0&amp;row=38&amp;col=17&amp;number=&amp;sourceID=12","")</f>
        <v/>
      </c>
      <c r="R38" s="4" t="str">
        <f>HYPERLINK("http://141.218.60.56/~jnz1568/getInfo.php?workbook=11_01.xlsx&amp;sheet=A0&amp;row=38&amp;col=18&amp;number=10.087&amp;sourceID=12","10.087")</f>
        <v>10.087</v>
      </c>
      <c r="S38" s="4" t="str">
        <f>HYPERLINK("http://141.218.60.56/~jnz1568/getInfo.php?workbook=11_01.xlsx&amp;sheet=A0&amp;row=38&amp;col=19&amp;number=&amp;sourceID=12","")</f>
        <v/>
      </c>
      <c r="T38" s="4" t="str">
        <f>HYPERLINK("http://141.218.60.56/~jnz1568/getInfo.php?workbook=11_01.xlsx&amp;sheet=A0&amp;row=38&amp;col=20&amp;number=&amp;sourceID=12","")</f>
        <v/>
      </c>
      <c r="U38" s="4" t="str">
        <f>HYPERLINK("http://141.218.60.56/~jnz1568/getInfo.php?workbook=11_01.xlsx&amp;sheet=A0&amp;row=38&amp;col=21&amp;number=10.09&amp;sourceID=30","10.09")</f>
        <v>10.09</v>
      </c>
      <c r="V38" s="4" t="str">
        <f>HYPERLINK("http://141.218.60.56/~jnz1568/getInfo.php?workbook=11_01.xlsx&amp;sheet=A0&amp;row=38&amp;col=22&amp;number=&amp;sourceID=30","")</f>
        <v/>
      </c>
      <c r="W38" s="4" t="str">
        <f>HYPERLINK("http://141.218.60.56/~jnz1568/getInfo.php?workbook=11_01.xlsx&amp;sheet=A0&amp;row=38&amp;col=23&amp;number=&amp;sourceID=30","")</f>
        <v/>
      </c>
      <c r="X38" s="4" t="str">
        <f>HYPERLINK("http://141.218.60.56/~jnz1568/getInfo.php?workbook=11_01.xlsx&amp;sheet=A0&amp;row=38&amp;col=24&amp;number=10.09&amp;sourceID=30","10.09")</f>
        <v>10.09</v>
      </c>
      <c r="Y38" s="4" t="str">
        <f>HYPERLINK("http://141.218.60.56/~jnz1568/getInfo.php?workbook=11_01.xlsx&amp;sheet=A0&amp;row=38&amp;col=25&amp;number=&amp;sourceID=30","")</f>
        <v/>
      </c>
      <c r="Z38" s="4" t="str">
        <f>HYPERLINK("http://141.218.60.56/~jnz1568/getInfo.php?workbook=11_01.xlsx&amp;sheet=A0&amp;row=38&amp;col=26&amp;number==&amp;sourceID=13","=")</f>
        <v>=</v>
      </c>
      <c r="AA38" s="4" t="str">
        <f>HYPERLINK("http://141.218.60.56/~jnz1568/getInfo.php?workbook=11_01.xlsx&amp;sheet=A0&amp;row=38&amp;col=27&amp;number=&amp;sourceID=13","")</f>
        <v/>
      </c>
      <c r="AB38" s="4" t="str">
        <f>HYPERLINK("http://141.218.60.56/~jnz1568/getInfo.php?workbook=11_01.xlsx&amp;sheet=A0&amp;row=38&amp;col=28&amp;number=&amp;sourceID=13","")</f>
        <v/>
      </c>
      <c r="AC38" s="4" t="str">
        <f>HYPERLINK("http://141.218.60.56/~jnz1568/getInfo.php?workbook=11_01.xlsx&amp;sheet=A0&amp;row=38&amp;col=29&amp;number=&amp;sourceID=13","")</f>
        <v/>
      </c>
      <c r="AD38" s="4" t="str">
        <f>HYPERLINK("http://141.218.60.56/~jnz1568/getInfo.php?workbook=11_01.xlsx&amp;sheet=A0&amp;row=38&amp;col=30&amp;number=9.78&amp;sourceID=13","9.78")</f>
        <v>9.78</v>
      </c>
      <c r="AE38" s="4" t="str">
        <f>HYPERLINK("http://141.218.60.56/~jnz1568/getInfo.php?workbook=11_01.xlsx&amp;sheet=A0&amp;row=38&amp;col=31&amp;number=&amp;sourceID=13","")</f>
        <v/>
      </c>
    </row>
    <row r="39" spans="1:31">
      <c r="A39" s="3">
        <v>11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HYPERLINK("http://141.218.60.56/~jnz1568/getInfo.php?workbook=11_01.xlsx&amp;sheet=A0&amp;row=39&amp;col=6&amp;number=&amp;sourceID=18","")</f>
        <v/>
      </c>
      <c r="G39" s="4" t="str">
        <f>HYPERLINK("http://141.218.60.56/~jnz1568/getInfo.php?workbook=11_01.xlsx&amp;sheet=A0&amp;row=39&amp;col=7&amp;number==&amp;sourceID=11","=")</f>
        <v>=</v>
      </c>
      <c r="H39" s="4" t="str">
        <f>HYPERLINK("http://141.218.60.56/~jnz1568/getInfo.php?workbook=11_01.xlsx&amp;sheet=A0&amp;row=39&amp;col=8&amp;number=142120000000&amp;sourceID=11","142120000000")</f>
        <v>142120000000</v>
      </c>
      <c r="I39" s="4" t="str">
        <f>HYPERLINK("http://141.218.60.56/~jnz1568/getInfo.php?workbook=11_01.xlsx&amp;sheet=A0&amp;row=39&amp;col=9&amp;number=&amp;sourceID=11","")</f>
        <v/>
      </c>
      <c r="J39" s="4" t="str">
        <f>HYPERLINK("http://141.218.60.56/~jnz1568/getInfo.php?workbook=11_01.xlsx&amp;sheet=A0&amp;row=39&amp;col=10&amp;number=&amp;sourceID=11","")</f>
        <v/>
      </c>
      <c r="K39" s="4" t="str">
        <f>HYPERLINK("http://141.218.60.56/~jnz1568/getInfo.php?workbook=11_01.xlsx&amp;sheet=A0&amp;row=39&amp;col=11&amp;number=&amp;sourceID=11","")</f>
        <v/>
      </c>
      <c r="L39" s="4" t="str">
        <f>HYPERLINK("http://141.218.60.56/~jnz1568/getInfo.php?workbook=11_01.xlsx&amp;sheet=A0&amp;row=39&amp;col=12&amp;number=&amp;sourceID=11","")</f>
        <v/>
      </c>
      <c r="M39" s="4" t="str">
        <f>HYPERLINK("http://141.218.60.56/~jnz1568/getInfo.php?workbook=11_01.xlsx&amp;sheet=A0&amp;row=39&amp;col=13&amp;number=&amp;sourceID=11","")</f>
        <v/>
      </c>
      <c r="N39" s="4" t="str">
        <f>HYPERLINK("http://141.218.60.56/~jnz1568/getInfo.php?workbook=11_01.xlsx&amp;sheet=A0&amp;row=39&amp;col=14&amp;number=142120000000&amp;sourceID=12","142120000000")</f>
        <v>142120000000</v>
      </c>
      <c r="O39" s="4" t="str">
        <f>HYPERLINK("http://141.218.60.56/~jnz1568/getInfo.php?workbook=11_01.xlsx&amp;sheet=A0&amp;row=39&amp;col=15&amp;number=142120000000&amp;sourceID=12","142120000000")</f>
        <v>142120000000</v>
      </c>
      <c r="P39" s="4" t="str">
        <f>HYPERLINK("http://141.218.60.56/~jnz1568/getInfo.php?workbook=11_01.xlsx&amp;sheet=A0&amp;row=39&amp;col=16&amp;number=&amp;sourceID=12","")</f>
        <v/>
      </c>
      <c r="Q39" s="4" t="str">
        <f>HYPERLINK("http://141.218.60.56/~jnz1568/getInfo.php?workbook=11_01.xlsx&amp;sheet=A0&amp;row=39&amp;col=17&amp;number=&amp;sourceID=12","")</f>
        <v/>
      </c>
      <c r="R39" s="4" t="str">
        <f>HYPERLINK("http://141.218.60.56/~jnz1568/getInfo.php?workbook=11_01.xlsx&amp;sheet=A0&amp;row=39&amp;col=18&amp;number=&amp;sourceID=12","")</f>
        <v/>
      </c>
      <c r="S39" s="4" t="str">
        <f>HYPERLINK("http://141.218.60.56/~jnz1568/getInfo.php?workbook=11_01.xlsx&amp;sheet=A0&amp;row=39&amp;col=19&amp;number=&amp;sourceID=12","")</f>
        <v/>
      </c>
      <c r="T39" s="4" t="str">
        <f>HYPERLINK("http://141.218.60.56/~jnz1568/getInfo.php?workbook=11_01.xlsx&amp;sheet=A0&amp;row=39&amp;col=20&amp;number=&amp;sourceID=12","")</f>
        <v/>
      </c>
      <c r="U39" s="4" t="str">
        <f>HYPERLINK("http://141.218.60.56/~jnz1568/getInfo.php?workbook=11_01.xlsx&amp;sheet=A0&amp;row=39&amp;col=21&amp;number=142100000000&amp;sourceID=30","142100000000")</f>
        <v>142100000000</v>
      </c>
      <c r="V39" s="4" t="str">
        <f>HYPERLINK("http://141.218.60.56/~jnz1568/getInfo.php?workbook=11_01.xlsx&amp;sheet=A0&amp;row=39&amp;col=22&amp;number=142100000000&amp;sourceID=30","142100000000")</f>
        <v>142100000000</v>
      </c>
      <c r="W39" s="4" t="str">
        <f>HYPERLINK("http://141.218.60.56/~jnz1568/getInfo.php?workbook=11_01.xlsx&amp;sheet=A0&amp;row=39&amp;col=23&amp;number=&amp;sourceID=30","")</f>
        <v/>
      </c>
      <c r="X39" s="4" t="str">
        <f>HYPERLINK("http://141.218.60.56/~jnz1568/getInfo.php?workbook=11_01.xlsx&amp;sheet=A0&amp;row=39&amp;col=24&amp;number=&amp;sourceID=30","")</f>
        <v/>
      </c>
      <c r="Y39" s="4" t="str">
        <f>HYPERLINK("http://141.218.60.56/~jnz1568/getInfo.php?workbook=11_01.xlsx&amp;sheet=A0&amp;row=39&amp;col=25&amp;number=&amp;sourceID=30","")</f>
        <v/>
      </c>
      <c r="Z39" s="4" t="str">
        <f>HYPERLINK("http://141.218.60.56/~jnz1568/getInfo.php?workbook=11_01.xlsx&amp;sheet=A0&amp;row=39&amp;col=26&amp;number==&amp;sourceID=13","=")</f>
        <v>=</v>
      </c>
      <c r="AA39" s="4" t="str">
        <f>HYPERLINK("http://141.218.60.56/~jnz1568/getInfo.php?workbook=11_01.xlsx&amp;sheet=A0&amp;row=39&amp;col=27&amp;number=139000000000&amp;sourceID=13","139000000000")</f>
        <v>139000000000</v>
      </c>
      <c r="AB39" s="4" t="str">
        <f>HYPERLINK("http://141.218.60.56/~jnz1568/getInfo.php?workbook=11_01.xlsx&amp;sheet=A0&amp;row=39&amp;col=28&amp;number=&amp;sourceID=13","")</f>
        <v/>
      </c>
      <c r="AC39" s="4" t="str">
        <f>HYPERLINK("http://141.218.60.56/~jnz1568/getInfo.php?workbook=11_01.xlsx&amp;sheet=A0&amp;row=39&amp;col=29&amp;number=&amp;sourceID=13","")</f>
        <v/>
      </c>
      <c r="AD39" s="4" t="str">
        <f>HYPERLINK("http://141.218.60.56/~jnz1568/getInfo.php?workbook=11_01.xlsx&amp;sheet=A0&amp;row=39&amp;col=30&amp;number=&amp;sourceID=13","")</f>
        <v/>
      </c>
      <c r="AE39" s="4" t="str">
        <f>HYPERLINK("http://141.218.60.56/~jnz1568/getInfo.php?workbook=11_01.xlsx&amp;sheet=A0&amp;row=39&amp;col=31&amp;number=&amp;sourceID=13","")</f>
        <v/>
      </c>
    </row>
    <row r="40" spans="1:31">
      <c r="A40" s="3">
        <v>11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HYPERLINK("http://141.218.60.56/~jnz1568/getInfo.php?workbook=11_01.xlsx&amp;sheet=A0&amp;row=40&amp;col=6&amp;number=&amp;sourceID=18","")</f>
        <v/>
      </c>
      <c r="G40" s="4" t="str">
        <f>HYPERLINK("http://141.218.60.56/~jnz1568/getInfo.php?workbook=11_01.xlsx&amp;sheet=A0&amp;row=40&amp;col=7&amp;number==&amp;sourceID=11","=")</f>
        <v>=</v>
      </c>
      <c r="H40" s="4" t="str">
        <f>HYPERLINK("http://141.218.60.56/~jnz1568/getInfo.php?workbook=11_01.xlsx&amp;sheet=A0&amp;row=40&amp;col=8&amp;number=&amp;sourceID=11","")</f>
        <v/>
      </c>
      <c r="I40" s="4" t="str">
        <f>HYPERLINK("http://141.218.60.56/~jnz1568/getInfo.php?workbook=11_01.xlsx&amp;sheet=A0&amp;row=40&amp;col=9&amp;number=18202000&amp;sourceID=11","18202000")</f>
        <v>18202000</v>
      </c>
      <c r="J40" s="4" t="str">
        <f>HYPERLINK("http://141.218.60.56/~jnz1568/getInfo.php?workbook=11_01.xlsx&amp;sheet=A0&amp;row=40&amp;col=10&amp;number=&amp;sourceID=11","")</f>
        <v/>
      </c>
      <c r="K40" s="4" t="str">
        <f>HYPERLINK("http://141.218.60.56/~jnz1568/getInfo.php?workbook=11_01.xlsx&amp;sheet=A0&amp;row=40&amp;col=11&amp;number=196.21&amp;sourceID=11","196.21")</f>
        <v>196.21</v>
      </c>
      <c r="L40" s="4" t="str">
        <f>HYPERLINK("http://141.218.60.56/~jnz1568/getInfo.php?workbook=11_01.xlsx&amp;sheet=A0&amp;row=40&amp;col=12&amp;number=&amp;sourceID=11","")</f>
        <v/>
      </c>
      <c r="M40" s="4" t="str">
        <f>HYPERLINK("http://141.218.60.56/~jnz1568/getInfo.php?workbook=11_01.xlsx&amp;sheet=A0&amp;row=40&amp;col=13&amp;number=&amp;sourceID=11","")</f>
        <v/>
      </c>
      <c r="N40" s="4" t="str">
        <f>HYPERLINK("http://141.218.60.56/~jnz1568/getInfo.php?workbook=11_01.xlsx&amp;sheet=A0&amp;row=40&amp;col=14&amp;number=18202000&amp;sourceID=12","18202000")</f>
        <v>18202000</v>
      </c>
      <c r="O40" s="4" t="str">
        <f>HYPERLINK("http://141.218.60.56/~jnz1568/getInfo.php?workbook=11_01.xlsx&amp;sheet=A0&amp;row=40&amp;col=15&amp;number=&amp;sourceID=12","")</f>
        <v/>
      </c>
      <c r="P40" s="4" t="str">
        <f>HYPERLINK("http://141.218.60.56/~jnz1568/getInfo.php?workbook=11_01.xlsx&amp;sheet=A0&amp;row=40&amp;col=16&amp;number=18202000&amp;sourceID=12","18202000")</f>
        <v>18202000</v>
      </c>
      <c r="Q40" s="4" t="str">
        <f>HYPERLINK("http://141.218.60.56/~jnz1568/getInfo.php?workbook=11_01.xlsx&amp;sheet=A0&amp;row=40&amp;col=17&amp;number=&amp;sourceID=12","")</f>
        <v/>
      </c>
      <c r="R40" s="4" t="str">
        <f>HYPERLINK("http://141.218.60.56/~jnz1568/getInfo.php?workbook=11_01.xlsx&amp;sheet=A0&amp;row=40&amp;col=18&amp;number=196.21&amp;sourceID=12","196.21")</f>
        <v>196.21</v>
      </c>
      <c r="S40" s="4" t="str">
        <f>HYPERLINK("http://141.218.60.56/~jnz1568/getInfo.php?workbook=11_01.xlsx&amp;sheet=A0&amp;row=40&amp;col=19&amp;number=&amp;sourceID=12","")</f>
        <v/>
      </c>
      <c r="T40" s="4" t="str">
        <f>HYPERLINK("http://141.218.60.56/~jnz1568/getInfo.php?workbook=11_01.xlsx&amp;sheet=A0&amp;row=40&amp;col=20&amp;number=&amp;sourceID=12","")</f>
        <v/>
      </c>
      <c r="U40" s="4" t="str">
        <f>HYPERLINK("http://141.218.60.56/~jnz1568/getInfo.php?workbook=11_01.xlsx&amp;sheet=A0&amp;row=40&amp;col=21&amp;number=18200196.2&amp;sourceID=30","18200196.2")</f>
        <v>18200196.2</v>
      </c>
      <c r="V40" s="4" t="str">
        <f>HYPERLINK("http://141.218.60.56/~jnz1568/getInfo.php?workbook=11_01.xlsx&amp;sheet=A0&amp;row=40&amp;col=22&amp;number=&amp;sourceID=30","")</f>
        <v/>
      </c>
      <c r="W40" s="4" t="str">
        <f>HYPERLINK("http://141.218.60.56/~jnz1568/getInfo.php?workbook=11_01.xlsx&amp;sheet=A0&amp;row=40&amp;col=23&amp;number=18200000&amp;sourceID=30","18200000")</f>
        <v>18200000</v>
      </c>
      <c r="X40" s="4" t="str">
        <f>HYPERLINK("http://141.218.60.56/~jnz1568/getInfo.php?workbook=11_01.xlsx&amp;sheet=A0&amp;row=40&amp;col=24&amp;number=196.2&amp;sourceID=30","196.2")</f>
        <v>196.2</v>
      </c>
      <c r="Y40" s="4" t="str">
        <f>HYPERLINK("http://141.218.60.56/~jnz1568/getInfo.php?workbook=11_01.xlsx&amp;sheet=A0&amp;row=40&amp;col=25&amp;number=&amp;sourceID=30","")</f>
        <v/>
      </c>
      <c r="Z40" s="4" t="str">
        <f>HYPERLINK("http://141.218.60.56/~jnz1568/getInfo.php?workbook=11_01.xlsx&amp;sheet=A0&amp;row=40&amp;col=26&amp;number==&amp;sourceID=13","=")</f>
        <v>=</v>
      </c>
      <c r="AA40" s="4" t="str">
        <f>HYPERLINK("http://141.218.60.56/~jnz1568/getInfo.php?workbook=11_01.xlsx&amp;sheet=A0&amp;row=40&amp;col=27&amp;number=&amp;sourceID=13","")</f>
        <v/>
      </c>
      <c r="AB40" s="4" t="str">
        <f>HYPERLINK("http://141.218.60.56/~jnz1568/getInfo.php?workbook=11_01.xlsx&amp;sheet=A0&amp;row=40&amp;col=28&amp;number=17600000&amp;sourceID=13","17600000")</f>
        <v>17600000</v>
      </c>
      <c r="AC40" s="4" t="str">
        <f>HYPERLINK("http://141.218.60.56/~jnz1568/getInfo.php?workbook=11_01.xlsx&amp;sheet=A0&amp;row=40&amp;col=29&amp;number=&amp;sourceID=13","")</f>
        <v/>
      </c>
      <c r="AD40" s="4" t="str">
        <f>HYPERLINK("http://141.218.60.56/~jnz1568/getInfo.php?workbook=11_01.xlsx&amp;sheet=A0&amp;row=40&amp;col=30&amp;number=217&amp;sourceID=13","217")</f>
        <v>217</v>
      </c>
      <c r="AE40" s="4" t="str">
        <f>HYPERLINK("http://141.218.60.56/~jnz1568/getInfo.php?workbook=11_01.xlsx&amp;sheet=A0&amp;row=40&amp;col=31&amp;number=&amp;sourceID=13","")</f>
        <v/>
      </c>
    </row>
    <row r="41" spans="1:31">
      <c r="A41" s="3">
        <v>11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HYPERLINK("http://141.218.60.56/~jnz1568/getInfo.php?workbook=11_01.xlsx&amp;sheet=A0&amp;row=41&amp;col=6&amp;number=&amp;sourceID=18","")</f>
        <v/>
      </c>
      <c r="G41" s="4" t="str">
        <f>HYPERLINK("http://141.218.60.56/~jnz1568/getInfo.php?workbook=11_01.xlsx&amp;sheet=A0&amp;row=41&amp;col=7&amp;number==&amp;sourceID=11","=")</f>
        <v>=</v>
      </c>
      <c r="H41" s="4" t="str">
        <f>HYPERLINK("http://141.218.60.56/~jnz1568/getInfo.php?workbook=11_01.xlsx&amp;sheet=A0&amp;row=41&amp;col=8&amp;number=&amp;sourceID=11","")</f>
        <v/>
      </c>
      <c r="I41" s="4" t="str">
        <f>HYPERLINK("http://141.218.60.56/~jnz1568/getInfo.php?workbook=11_01.xlsx&amp;sheet=A0&amp;row=41&amp;col=9&amp;number=&amp;sourceID=11","")</f>
        <v/>
      </c>
      <c r="J41" s="4" t="str">
        <f>HYPERLINK("http://141.218.60.56/~jnz1568/getInfo.php?workbook=11_01.xlsx&amp;sheet=A0&amp;row=41&amp;col=10&amp;number=&amp;sourceID=11","")</f>
        <v/>
      </c>
      <c r="K41" s="4" t="str">
        <f>HYPERLINK("http://141.218.60.56/~jnz1568/getInfo.php?workbook=11_01.xlsx&amp;sheet=A0&amp;row=41&amp;col=11&amp;number=0.16773&amp;sourceID=11","0.16773")</f>
        <v>0.16773</v>
      </c>
      <c r="L41" s="4" t="str">
        <f>HYPERLINK("http://141.218.60.56/~jnz1568/getInfo.php?workbook=11_01.xlsx&amp;sheet=A0&amp;row=41&amp;col=12&amp;number=&amp;sourceID=11","")</f>
        <v/>
      </c>
      <c r="M41" s="4" t="str">
        <f>HYPERLINK("http://141.218.60.56/~jnz1568/getInfo.php?workbook=11_01.xlsx&amp;sheet=A0&amp;row=41&amp;col=13&amp;number=&amp;sourceID=11","")</f>
        <v/>
      </c>
      <c r="N41" s="4" t="str">
        <f>HYPERLINK("http://141.218.60.56/~jnz1568/getInfo.php?workbook=11_01.xlsx&amp;sheet=A0&amp;row=41&amp;col=14&amp;number=0.16774&amp;sourceID=12","0.16774")</f>
        <v>0.16774</v>
      </c>
      <c r="O41" s="4" t="str">
        <f>HYPERLINK("http://141.218.60.56/~jnz1568/getInfo.php?workbook=11_01.xlsx&amp;sheet=A0&amp;row=41&amp;col=15&amp;number=&amp;sourceID=12","")</f>
        <v/>
      </c>
      <c r="P41" s="4" t="str">
        <f>HYPERLINK("http://141.218.60.56/~jnz1568/getInfo.php?workbook=11_01.xlsx&amp;sheet=A0&amp;row=41&amp;col=16&amp;number=&amp;sourceID=12","")</f>
        <v/>
      </c>
      <c r="Q41" s="4" t="str">
        <f>HYPERLINK("http://141.218.60.56/~jnz1568/getInfo.php?workbook=11_01.xlsx&amp;sheet=A0&amp;row=41&amp;col=17&amp;number=&amp;sourceID=12","")</f>
        <v/>
      </c>
      <c r="R41" s="4" t="str">
        <f>HYPERLINK("http://141.218.60.56/~jnz1568/getInfo.php?workbook=11_01.xlsx&amp;sheet=A0&amp;row=41&amp;col=18&amp;number=0.16774&amp;sourceID=12","0.16774")</f>
        <v>0.16774</v>
      </c>
      <c r="S41" s="4" t="str">
        <f>HYPERLINK("http://141.218.60.56/~jnz1568/getInfo.php?workbook=11_01.xlsx&amp;sheet=A0&amp;row=41&amp;col=19&amp;number=&amp;sourceID=12","")</f>
        <v/>
      </c>
      <c r="T41" s="4" t="str">
        <f>HYPERLINK("http://141.218.60.56/~jnz1568/getInfo.php?workbook=11_01.xlsx&amp;sheet=A0&amp;row=41&amp;col=20&amp;number=&amp;sourceID=12","")</f>
        <v/>
      </c>
      <c r="U41" s="4" t="str">
        <f>HYPERLINK("http://141.218.60.56/~jnz1568/getInfo.php?workbook=11_01.xlsx&amp;sheet=A0&amp;row=41&amp;col=21&amp;number=0.1678&amp;sourceID=30","0.1678")</f>
        <v>0.1678</v>
      </c>
      <c r="V41" s="4" t="str">
        <f>HYPERLINK("http://141.218.60.56/~jnz1568/getInfo.php?workbook=11_01.xlsx&amp;sheet=A0&amp;row=41&amp;col=22&amp;number=&amp;sourceID=30","")</f>
        <v/>
      </c>
      <c r="W41" s="4" t="str">
        <f>HYPERLINK("http://141.218.60.56/~jnz1568/getInfo.php?workbook=11_01.xlsx&amp;sheet=A0&amp;row=41&amp;col=23&amp;number=&amp;sourceID=30","")</f>
        <v/>
      </c>
      <c r="X41" s="4" t="str">
        <f>HYPERLINK("http://141.218.60.56/~jnz1568/getInfo.php?workbook=11_01.xlsx&amp;sheet=A0&amp;row=41&amp;col=24&amp;number=0.1678&amp;sourceID=30","0.1678")</f>
        <v>0.1678</v>
      </c>
      <c r="Y41" s="4" t="str">
        <f>HYPERLINK("http://141.218.60.56/~jnz1568/getInfo.php?workbook=11_01.xlsx&amp;sheet=A0&amp;row=41&amp;col=25&amp;number=&amp;sourceID=30","")</f>
        <v/>
      </c>
      <c r="Z41" s="4" t="str">
        <f>HYPERLINK("http://141.218.60.56/~jnz1568/getInfo.php?workbook=11_01.xlsx&amp;sheet=A0&amp;row=41&amp;col=26&amp;number==&amp;sourceID=13","=")</f>
        <v>=</v>
      </c>
      <c r="AA41" s="4" t="str">
        <f>HYPERLINK("http://141.218.60.56/~jnz1568/getInfo.php?workbook=11_01.xlsx&amp;sheet=A0&amp;row=41&amp;col=27&amp;number=&amp;sourceID=13","")</f>
        <v/>
      </c>
      <c r="AB41" s="4" t="str">
        <f>HYPERLINK("http://141.218.60.56/~jnz1568/getInfo.php?workbook=11_01.xlsx&amp;sheet=A0&amp;row=41&amp;col=28&amp;number=&amp;sourceID=13","")</f>
        <v/>
      </c>
      <c r="AC41" s="4" t="str">
        <f>HYPERLINK("http://141.218.60.56/~jnz1568/getInfo.php?workbook=11_01.xlsx&amp;sheet=A0&amp;row=41&amp;col=29&amp;number=&amp;sourceID=13","")</f>
        <v/>
      </c>
      <c r="AD41" s="4" t="str">
        <f>HYPERLINK("http://141.218.60.56/~jnz1568/getInfo.php?workbook=11_01.xlsx&amp;sheet=A0&amp;row=41&amp;col=30&amp;number=0.165&amp;sourceID=13","0.165")</f>
        <v>0.165</v>
      </c>
      <c r="AE41" s="4" t="str">
        <f>HYPERLINK("http://141.218.60.56/~jnz1568/getInfo.php?workbook=11_01.xlsx&amp;sheet=A0&amp;row=41&amp;col=31&amp;number=&amp;sourceID=13","")</f>
        <v/>
      </c>
    </row>
    <row r="42" spans="1:31">
      <c r="A42" s="3">
        <v>11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HYPERLINK("http://141.218.60.56/~jnz1568/getInfo.php?workbook=11_01.xlsx&amp;sheet=A0&amp;row=42&amp;col=6&amp;number=&amp;sourceID=18","")</f>
        <v/>
      </c>
      <c r="G42" s="4" t="str">
        <f>HYPERLINK("http://141.218.60.56/~jnz1568/getInfo.php?workbook=11_01.xlsx&amp;sheet=A0&amp;row=42&amp;col=7&amp;number==&amp;sourceID=11","=")</f>
        <v>=</v>
      </c>
      <c r="H42" s="4" t="str">
        <f>HYPERLINK("http://141.218.60.56/~jnz1568/getInfo.php?workbook=11_01.xlsx&amp;sheet=A0&amp;row=42&amp;col=8&amp;number=45070000000&amp;sourceID=11","45070000000")</f>
        <v>45070000000</v>
      </c>
      <c r="I42" s="4" t="str">
        <f>HYPERLINK("http://141.218.60.56/~jnz1568/getInfo.php?workbook=11_01.xlsx&amp;sheet=A0&amp;row=42&amp;col=9&amp;number=&amp;sourceID=11","")</f>
        <v/>
      </c>
      <c r="J42" s="4" t="str">
        <f>HYPERLINK("http://141.218.60.56/~jnz1568/getInfo.php?workbook=11_01.xlsx&amp;sheet=A0&amp;row=42&amp;col=10&amp;number=&amp;sourceID=11","")</f>
        <v/>
      </c>
      <c r="K42" s="4" t="str">
        <f>HYPERLINK("http://141.218.60.56/~jnz1568/getInfo.php?workbook=11_01.xlsx&amp;sheet=A0&amp;row=42&amp;col=11&amp;number=&amp;sourceID=11","")</f>
        <v/>
      </c>
      <c r="L42" s="4" t="str">
        <f>HYPERLINK("http://141.218.60.56/~jnz1568/getInfo.php?workbook=11_01.xlsx&amp;sheet=A0&amp;row=42&amp;col=12&amp;number=&amp;sourceID=11","")</f>
        <v/>
      </c>
      <c r="M42" s="4" t="str">
        <f>HYPERLINK("http://141.218.60.56/~jnz1568/getInfo.php?workbook=11_01.xlsx&amp;sheet=A0&amp;row=42&amp;col=13&amp;number=&amp;sourceID=11","")</f>
        <v/>
      </c>
      <c r="N42" s="4" t="str">
        <f>HYPERLINK("http://141.218.60.56/~jnz1568/getInfo.php?workbook=11_01.xlsx&amp;sheet=A0&amp;row=42&amp;col=14&amp;number=45071000000&amp;sourceID=12","45071000000")</f>
        <v>45071000000</v>
      </c>
      <c r="O42" s="4" t="str">
        <f>HYPERLINK("http://141.218.60.56/~jnz1568/getInfo.php?workbook=11_01.xlsx&amp;sheet=A0&amp;row=42&amp;col=15&amp;number=45071000000&amp;sourceID=12","45071000000")</f>
        <v>45071000000</v>
      </c>
      <c r="P42" s="4" t="str">
        <f>HYPERLINK("http://141.218.60.56/~jnz1568/getInfo.php?workbook=11_01.xlsx&amp;sheet=A0&amp;row=42&amp;col=16&amp;number=&amp;sourceID=12","")</f>
        <v/>
      </c>
      <c r="Q42" s="4" t="str">
        <f>HYPERLINK("http://141.218.60.56/~jnz1568/getInfo.php?workbook=11_01.xlsx&amp;sheet=A0&amp;row=42&amp;col=17&amp;number=&amp;sourceID=12","")</f>
        <v/>
      </c>
      <c r="R42" s="4" t="str">
        <f>HYPERLINK("http://141.218.60.56/~jnz1568/getInfo.php?workbook=11_01.xlsx&amp;sheet=A0&amp;row=42&amp;col=18&amp;number=&amp;sourceID=12","")</f>
        <v/>
      </c>
      <c r="S42" s="4" t="str">
        <f>HYPERLINK("http://141.218.60.56/~jnz1568/getInfo.php?workbook=11_01.xlsx&amp;sheet=A0&amp;row=42&amp;col=19&amp;number=&amp;sourceID=12","")</f>
        <v/>
      </c>
      <c r="T42" s="4" t="str">
        <f>HYPERLINK("http://141.218.60.56/~jnz1568/getInfo.php?workbook=11_01.xlsx&amp;sheet=A0&amp;row=42&amp;col=20&amp;number=&amp;sourceID=12","")</f>
        <v/>
      </c>
      <c r="U42" s="4" t="str">
        <f>HYPERLINK("http://141.218.60.56/~jnz1568/getInfo.php?workbook=11_01.xlsx&amp;sheet=A0&amp;row=42&amp;col=21&amp;number=45070000000&amp;sourceID=30","45070000000")</f>
        <v>45070000000</v>
      </c>
      <c r="V42" s="4" t="str">
        <f>HYPERLINK("http://141.218.60.56/~jnz1568/getInfo.php?workbook=11_01.xlsx&amp;sheet=A0&amp;row=42&amp;col=22&amp;number=45070000000&amp;sourceID=30","45070000000")</f>
        <v>45070000000</v>
      </c>
      <c r="W42" s="4" t="str">
        <f>HYPERLINK("http://141.218.60.56/~jnz1568/getInfo.php?workbook=11_01.xlsx&amp;sheet=A0&amp;row=42&amp;col=23&amp;number=&amp;sourceID=30","")</f>
        <v/>
      </c>
      <c r="X42" s="4" t="str">
        <f>HYPERLINK("http://141.218.60.56/~jnz1568/getInfo.php?workbook=11_01.xlsx&amp;sheet=A0&amp;row=42&amp;col=24&amp;number=&amp;sourceID=30","")</f>
        <v/>
      </c>
      <c r="Y42" s="4" t="str">
        <f>HYPERLINK("http://141.218.60.56/~jnz1568/getInfo.php?workbook=11_01.xlsx&amp;sheet=A0&amp;row=42&amp;col=25&amp;number=&amp;sourceID=30","")</f>
        <v/>
      </c>
      <c r="Z42" s="4" t="str">
        <f>HYPERLINK("http://141.218.60.56/~jnz1568/getInfo.php?workbook=11_01.xlsx&amp;sheet=A0&amp;row=42&amp;col=26&amp;number==&amp;sourceID=13","=")</f>
        <v>=</v>
      </c>
      <c r="AA42" s="4" t="str">
        <f>HYPERLINK("http://141.218.60.56/~jnz1568/getInfo.php?workbook=11_01.xlsx&amp;sheet=A0&amp;row=42&amp;col=27&amp;number=44700000000&amp;sourceID=13","44700000000")</f>
        <v>44700000000</v>
      </c>
      <c r="AB42" s="4" t="str">
        <f>HYPERLINK("http://141.218.60.56/~jnz1568/getInfo.php?workbook=11_01.xlsx&amp;sheet=A0&amp;row=42&amp;col=28&amp;number=&amp;sourceID=13","")</f>
        <v/>
      </c>
      <c r="AC42" s="4" t="str">
        <f>HYPERLINK("http://141.218.60.56/~jnz1568/getInfo.php?workbook=11_01.xlsx&amp;sheet=A0&amp;row=42&amp;col=29&amp;number=&amp;sourceID=13","")</f>
        <v/>
      </c>
      <c r="AD42" s="4" t="str">
        <f>HYPERLINK("http://141.218.60.56/~jnz1568/getInfo.php?workbook=11_01.xlsx&amp;sheet=A0&amp;row=42&amp;col=30&amp;number=&amp;sourceID=13","")</f>
        <v/>
      </c>
      <c r="AE42" s="4" t="str">
        <f>HYPERLINK("http://141.218.60.56/~jnz1568/getInfo.php?workbook=11_01.xlsx&amp;sheet=A0&amp;row=42&amp;col=31&amp;number=&amp;sourceID=13","")</f>
        <v/>
      </c>
    </row>
    <row r="43" spans="1:31">
      <c r="A43" s="3">
        <v>11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HYPERLINK("http://141.218.60.56/~jnz1568/getInfo.php?workbook=11_01.xlsx&amp;sheet=A0&amp;row=43&amp;col=6&amp;number=&amp;sourceID=18","")</f>
        <v/>
      </c>
      <c r="G43" s="4" t="str">
        <f>HYPERLINK("http://141.218.60.56/~jnz1568/getInfo.php?workbook=11_01.xlsx&amp;sheet=A0&amp;row=43&amp;col=7&amp;number==&amp;sourceID=11","=")</f>
        <v>=</v>
      </c>
      <c r="H43" s="4" t="str">
        <f>HYPERLINK("http://141.218.60.56/~jnz1568/getInfo.php?workbook=11_01.xlsx&amp;sheet=A0&amp;row=43&amp;col=8&amp;number=5191900000&amp;sourceID=11","5191900000")</f>
        <v>5191900000</v>
      </c>
      <c r="I43" s="4" t="str">
        <f>HYPERLINK("http://141.218.60.56/~jnz1568/getInfo.php?workbook=11_01.xlsx&amp;sheet=A0&amp;row=43&amp;col=9&amp;number=&amp;sourceID=11","")</f>
        <v/>
      </c>
      <c r="J43" s="4" t="str">
        <f>HYPERLINK("http://141.218.60.56/~jnz1568/getInfo.php?workbook=11_01.xlsx&amp;sheet=A0&amp;row=43&amp;col=10&amp;number=&amp;sourceID=11","")</f>
        <v/>
      </c>
      <c r="K43" s="4" t="str">
        <f>HYPERLINK("http://141.218.60.56/~jnz1568/getInfo.php?workbook=11_01.xlsx&amp;sheet=A0&amp;row=43&amp;col=11&amp;number=&amp;sourceID=11","")</f>
        <v/>
      </c>
      <c r="L43" s="4" t="str">
        <f>HYPERLINK("http://141.218.60.56/~jnz1568/getInfo.php?workbook=11_01.xlsx&amp;sheet=A0&amp;row=43&amp;col=12&amp;number=0.9549&amp;sourceID=11","0.9549")</f>
        <v>0.9549</v>
      </c>
      <c r="M43" s="4" t="str">
        <f>HYPERLINK("http://141.218.60.56/~jnz1568/getInfo.php?workbook=11_01.xlsx&amp;sheet=A0&amp;row=43&amp;col=13&amp;number=&amp;sourceID=11","")</f>
        <v/>
      </c>
      <c r="N43" s="4" t="str">
        <f>HYPERLINK("http://141.218.60.56/~jnz1568/getInfo.php?workbook=11_01.xlsx&amp;sheet=A0&amp;row=43&amp;col=14&amp;number=5192000000&amp;sourceID=12","5192000000")</f>
        <v>5192000000</v>
      </c>
      <c r="O43" s="4" t="str">
        <f>HYPERLINK("http://141.218.60.56/~jnz1568/getInfo.php?workbook=11_01.xlsx&amp;sheet=A0&amp;row=43&amp;col=15&amp;number=5192000000&amp;sourceID=12","5192000000")</f>
        <v>5192000000</v>
      </c>
      <c r="P43" s="4" t="str">
        <f>HYPERLINK("http://141.218.60.56/~jnz1568/getInfo.php?workbook=11_01.xlsx&amp;sheet=A0&amp;row=43&amp;col=16&amp;number=&amp;sourceID=12","")</f>
        <v/>
      </c>
      <c r="Q43" s="4" t="str">
        <f>HYPERLINK("http://141.218.60.56/~jnz1568/getInfo.php?workbook=11_01.xlsx&amp;sheet=A0&amp;row=43&amp;col=17&amp;number=&amp;sourceID=12","")</f>
        <v/>
      </c>
      <c r="R43" s="4" t="str">
        <f>HYPERLINK("http://141.218.60.56/~jnz1568/getInfo.php?workbook=11_01.xlsx&amp;sheet=A0&amp;row=43&amp;col=18&amp;number=&amp;sourceID=12","")</f>
        <v/>
      </c>
      <c r="S43" s="4" t="str">
        <f>HYPERLINK("http://141.218.60.56/~jnz1568/getInfo.php?workbook=11_01.xlsx&amp;sheet=A0&amp;row=43&amp;col=19&amp;number=0.95492&amp;sourceID=12","0.95492")</f>
        <v>0.95492</v>
      </c>
      <c r="T43" s="4" t="str">
        <f>HYPERLINK("http://141.218.60.56/~jnz1568/getInfo.php?workbook=11_01.xlsx&amp;sheet=A0&amp;row=43&amp;col=20&amp;number=&amp;sourceID=12","")</f>
        <v/>
      </c>
      <c r="U43" s="4" t="str">
        <f>HYPERLINK("http://141.218.60.56/~jnz1568/getInfo.php?workbook=11_01.xlsx&amp;sheet=A0&amp;row=43&amp;col=21&amp;number=5192000000.95&amp;sourceID=30","5192000000.95")</f>
        <v>5192000000.95</v>
      </c>
      <c r="V43" s="4" t="str">
        <f>HYPERLINK("http://141.218.60.56/~jnz1568/getInfo.php?workbook=11_01.xlsx&amp;sheet=A0&amp;row=43&amp;col=22&amp;number=5192000000&amp;sourceID=30","5192000000")</f>
        <v>5192000000</v>
      </c>
      <c r="W43" s="4" t="str">
        <f>HYPERLINK("http://141.218.60.56/~jnz1568/getInfo.php?workbook=11_01.xlsx&amp;sheet=A0&amp;row=43&amp;col=23&amp;number=&amp;sourceID=30","")</f>
        <v/>
      </c>
      <c r="X43" s="4" t="str">
        <f>HYPERLINK("http://141.218.60.56/~jnz1568/getInfo.php?workbook=11_01.xlsx&amp;sheet=A0&amp;row=43&amp;col=24&amp;number=&amp;sourceID=30","")</f>
        <v/>
      </c>
      <c r="Y43" s="4" t="str">
        <f>HYPERLINK("http://141.218.60.56/~jnz1568/getInfo.php?workbook=11_01.xlsx&amp;sheet=A0&amp;row=43&amp;col=25&amp;number=0.9549&amp;sourceID=30","0.9549")</f>
        <v>0.9549</v>
      </c>
      <c r="Z43" s="4" t="str">
        <f>HYPERLINK("http://141.218.60.56/~jnz1568/getInfo.php?workbook=11_01.xlsx&amp;sheet=A0&amp;row=43&amp;col=26&amp;number==&amp;sourceID=13","=")</f>
        <v>=</v>
      </c>
      <c r="AA43" s="4" t="str">
        <f>HYPERLINK("http://141.218.60.56/~jnz1568/getInfo.php?workbook=11_01.xlsx&amp;sheet=A0&amp;row=43&amp;col=27&amp;number=5110000000&amp;sourceID=13","5110000000")</f>
        <v>5110000000</v>
      </c>
      <c r="AB43" s="4" t="str">
        <f>HYPERLINK("http://141.218.60.56/~jnz1568/getInfo.php?workbook=11_01.xlsx&amp;sheet=A0&amp;row=43&amp;col=28&amp;number=&amp;sourceID=13","")</f>
        <v/>
      </c>
      <c r="AC43" s="4" t="str">
        <f>HYPERLINK("http://141.218.60.56/~jnz1568/getInfo.php?workbook=11_01.xlsx&amp;sheet=A0&amp;row=43&amp;col=29&amp;number=&amp;sourceID=13","")</f>
        <v/>
      </c>
      <c r="AD43" s="4" t="str">
        <f>HYPERLINK("http://141.218.60.56/~jnz1568/getInfo.php?workbook=11_01.xlsx&amp;sheet=A0&amp;row=43&amp;col=30&amp;number=&amp;sourceID=13","")</f>
        <v/>
      </c>
      <c r="AE43" s="4" t="str">
        <f>HYPERLINK("http://141.218.60.56/~jnz1568/getInfo.php?workbook=11_01.xlsx&amp;sheet=A0&amp;row=43&amp;col=31&amp;number=&amp;sourceID=13","")</f>
        <v/>
      </c>
    </row>
    <row r="44" spans="1:31">
      <c r="A44" s="3">
        <v>11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HYPERLINK("http://141.218.60.56/~jnz1568/getInfo.php?workbook=11_01.xlsx&amp;sheet=A0&amp;row=44&amp;col=6&amp;number=&amp;sourceID=18","")</f>
        <v/>
      </c>
      <c r="G44" s="4" t="str">
        <f>HYPERLINK("http://141.218.60.56/~jnz1568/getInfo.php?workbook=11_01.xlsx&amp;sheet=A0&amp;row=44&amp;col=7&amp;number==&amp;sourceID=11","=")</f>
        <v>=</v>
      </c>
      <c r="H44" s="4" t="str">
        <f>HYPERLINK("http://141.218.60.56/~jnz1568/getInfo.php?workbook=11_01.xlsx&amp;sheet=A0&amp;row=44&amp;col=8&amp;number=&amp;sourceID=11","")</f>
        <v/>
      </c>
      <c r="I44" s="4" t="str">
        <f>HYPERLINK("http://141.218.60.56/~jnz1568/getInfo.php?workbook=11_01.xlsx&amp;sheet=A0&amp;row=44&amp;col=9&amp;number=4528200&amp;sourceID=11","4528200")</f>
        <v>4528200</v>
      </c>
      <c r="J44" s="4" t="str">
        <f>HYPERLINK("http://141.218.60.56/~jnz1568/getInfo.php?workbook=11_01.xlsx&amp;sheet=A0&amp;row=44&amp;col=10&amp;number=&amp;sourceID=11","")</f>
        <v/>
      </c>
      <c r="K44" s="4" t="str">
        <f>HYPERLINK("http://141.218.60.56/~jnz1568/getInfo.php?workbook=11_01.xlsx&amp;sheet=A0&amp;row=44&amp;col=11&amp;number=14.025&amp;sourceID=11","14.025")</f>
        <v>14.025</v>
      </c>
      <c r="L44" s="4" t="str">
        <f>HYPERLINK("http://141.218.60.56/~jnz1568/getInfo.php?workbook=11_01.xlsx&amp;sheet=A0&amp;row=44&amp;col=12&amp;number=&amp;sourceID=11","")</f>
        <v/>
      </c>
      <c r="M44" s="4" t="str">
        <f>HYPERLINK("http://141.218.60.56/~jnz1568/getInfo.php?workbook=11_01.xlsx&amp;sheet=A0&amp;row=44&amp;col=13&amp;number=&amp;sourceID=11","")</f>
        <v/>
      </c>
      <c r="N44" s="4" t="str">
        <f>HYPERLINK("http://141.218.60.56/~jnz1568/getInfo.php?workbook=11_01.xlsx&amp;sheet=A0&amp;row=44&amp;col=14&amp;number=4528300&amp;sourceID=12","4528300")</f>
        <v>4528300</v>
      </c>
      <c r="O44" s="4" t="str">
        <f>HYPERLINK("http://141.218.60.56/~jnz1568/getInfo.php?workbook=11_01.xlsx&amp;sheet=A0&amp;row=44&amp;col=15&amp;number=&amp;sourceID=12","")</f>
        <v/>
      </c>
      <c r="P44" s="4" t="str">
        <f>HYPERLINK("http://141.218.60.56/~jnz1568/getInfo.php?workbook=11_01.xlsx&amp;sheet=A0&amp;row=44&amp;col=16&amp;number=4528300&amp;sourceID=12","4528300")</f>
        <v>4528300</v>
      </c>
      <c r="Q44" s="4" t="str">
        <f>HYPERLINK("http://141.218.60.56/~jnz1568/getInfo.php?workbook=11_01.xlsx&amp;sheet=A0&amp;row=44&amp;col=17&amp;number=&amp;sourceID=12","")</f>
        <v/>
      </c>
      <c r="R44" s="4" t="str">
        <f>HYPERLINK("http://141.218.60.56/~jnz1568/getInfo.php?workbook=11_01.xlsx&amp;sheet=A0&amp;row=44&amp;col=18&amp;number=14.025&amp;sourceID=12","14.025")</f>
        <v>14.025</v>
      </c>
      <c r="S44" s="4" t="str">
        <f>HYPERLINK("http://141.218.60.56/~jnz1568/getInfo.php?workbook=11_01.xlsx&amp;sheet=A0&amp;row=44&amp;col=19&amp;number=&amp;sourceID=12","")</f>
        <v/>
      </c>
      <c r="T44" s="4" t="str">
        <f>HYPERLINK("http://141.218.60.56/~jnz1568/getInfo.php?workbook=11_01.xlsx&amp;sheet=A0&amp;row=44&amp;col=20&amp;number=&amp;sourceID=12","")</f>
        <v/>
      </c>
      <c r="U44" s="4" t="str">
        <f>HYPERLINK("http://141.218.60.56/~jnz1568/getInfo.php?workbook=11_01.xlsx&amp;sheet=A0&amp;row=44&amp;col=21&amp;number=4528014.02&amp;sourceID=30","4528014.02")</f>
        <v>4528014.02</v>
      </c>
      <c r="V44" s="4" t="str">
        <f>HYPERLINK("http://141.218.60.56/~jnz1568/getInfo.php?workbook=11_01.xlsx&amp;sheet=A0&amp;row=44&amp;col=22&amp;number=&amp;sourceID=30","")</f>
        <v/>
      </c>
      <c r="W44" s="4" t="str">
        <f>HYPERLINK("http://141.218.60.56/~jnz1568/getInfo.php?workbook=11_01.xlsx&amp;sheet=A0&amp;row=44&amp;col=23&amp;number=4528000&amp;sourceID=30","4528000")</f>
        <v>4528000</v>
      </c>
      <c r="X44" s="4" t="str">
        <f>HYPERLINK("http://141.218.60.56/~jnz1568/getInfo.php?workbook=11_01.xlsx&amp;sheet=A0&amp;row=44&amp;col=24&amp;number=14.02&amp;sourceID=30","14.02")</f>
        <v>14.02</v>
      </c>
      <c r="Y44" s="4" t="str">
        <f>HYPERLINK("http://141.218.60.56/~jnz1568/getInfo.php?workbook=11_01.xlsx&amp;sheet=A0&amp;row=44&amp;col=25&amp;number=&amp;sourceID=30","")</f>
        <v/>
      </c>
      <c r="Z44" s="4" t="str">
        <f>HYPERLINK("http://141.218.60.56/~jnz1568/getInfo.php?workbook=11_01.xlsx&amp;sheet=A0&amp;row=44&amp;col=26&amp;number==&amp;sourceID=13","=")</f>
        <v>=</v>
      </c>
      <c r="AA44" s="4" t="str">
        <f>HYPERLINK("http://141.218.60.56/~jnz1568/getInfo.php?workbook=11_01.xlsx&amp;sheet=A0&amp;row=44&amp;col=27&amp;number=&amp;sourceID=13","")</f>
        <v/>
      </c>
      <c r="AB44" s="4" t="str">
        <f>HYPERLINK("http://141.218.60.56/~jnz1568/getInfo.php?workbook=11_01.xlsx&amp;sheet=A0&amp;row=44&amp;col=28&amp;number=4500000&amp;sourceID=13","4500000")</f>
        <v>4500000</v>
      </c>
      <c r="AC44" s="4" t="str">
        <f>HYPERLINK("http://141.218.60.56/~jnz1568/getInfo.php?workbook=11_01.xlsx&amp;sheet=A0&amp;row=44&amp;col=29&amp;number=&amp;sourceID=13","")</f>
        <v/>
      </c>
      <c r="AD44" s="4" t="str">
        <f>HYPERLINK("http://141.218.60.56/~jnz1568/getInfo.php?workbook=11_01.xlsx&amp;sheet=A0&amp;row=44&amp;col=30&amp;number=14.3&amp;sourceID=13","14.3")</f>
        <v>14.3</v>
      </c>
      <c r="AE44" s="4" t="str">
        <f>HYPERLINK("http://141.218.60.56/~jnz1568/getInfo.php?workbook=11_01.xlsx&amp;sheet=A0&amp;row=44&amp;col=31&amp;number=&amp;sourceID=13","")</f>
        <v/>
      </c>
    </row>
    <row r="45" spans="1:31">
      <c r="A45" s="3">
        <v>11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HYPERLINK("http://141.218.60.56/~jnz1568/getInfo.php?workbook=11_01.xlsx&amp;sheet=A0&amp;row=45&amp;col=6&amp;number=&amp;sourceID=18","")</f>
        <v/>
      </c>
      <c r="G45" s="4" t="str">
        <f>HYPERLINK("http://141.218.60.56/~jnz1568/getInfo.php?workbook=11_01.xlsx&amp;sheet=A0&amp;row=45&amp;col=7&amp;number==&amp;sourceID=11","=")</f>
        <v>=</v>
      </c>
      <c r="H45" s="4" t="str">
        <f>HYPERLINK("http://141.218.60.56/~jnz1568/getInfo.php?workbook=11_01.xlsx&amp;sheet=A0&amp;row=45&amp;col=8&amp;number=&amp;sourceID=11","")</f>
        <v/>
      </c>
      <c r="I45" s="4" t="str">
        <f>HYPERLINK("http://141.218.60.56/~jnz1568/getInfo.php?workbook=11_01.xlsx&amp;sheet=A0&amp;row=45&amp;col=9&amp;number=&amp;sourceID=11","")</f>
        <v/>
      </c>
      <c r="J45" s="4" t="str">
        <f>HYPERLINK("http://141.218.60.56/~jnz1568/getInfo.php?workbook=11_01.xlsx&amp;sheet=A0&amp;row=45&amp;col=10&amp;number=100.25&amp;sourceID=11","100.25")</f>
        <v>100.25</v>
      </c>
      <c r="K45" s="4" t="str">
        <f>HYPERLINK("http://141.218.60.56/~jnz1568/getInfo.php?workbook=11_01.xlsx&amp;sheet=A0&amp;row=45&amp;col=11&amp;number=&amp;sourceID=11","")</f>
        <v/>
      </c>
      <c r="L45" s="4" t="str">
        <f>HYPERLINK("http://141.218.60.56/~jnz1568/getInfo.php?workbook=11_01.xlsx&amp;sheet=A0&amp;row=45&amp;col=12&amp;number=10.224&amp;sourceID=11","10.224")</f>
        <v>10.224</v>
      </c>
      <c r="M45" s="4" t="str">
        <f>HYPERLINK("http://141.218.60.56/~jnz1568/getInfo.php?workbook=11_01.xlsx&amp;sheet=A0&amp;row=45&amp;col=13&amp;number=&amp;sourceID=11","")</f>
        <v/>
      </c>
      <c r="N45" s="4" t="str">
        <f>HYPERLINK("http://141.218.60.56/~jnz1568/getInfo.php?workbook=11_01.xlsx&amp;sheet=A0&amp;row=45&amp;col=14&amp;number=110.47&amp;sourceID=12","110.47")</f>
        <v>110.47</v>
      </c>
      <c r="O45" s="4" t="str">
        <f>HYPERLINK("http://141.218.60.56/~jnz1568/getInfo.php?workbook=11_01.xlsx&amp;sheet=A0&amp;row=45&amp;col=15&amp;number=&amp;sourceID=12","")</f>
        <v/>
      </c>
      <c r="P45" s="4" t="str">
        <f>HYPERLINK("http://141.218.60.56/~jnz1568/getInfo.php?workbook=11_01.xlsx&amp;sheet=A0&amp;row=45&amp;col=16&amp;number=&amp;sourceID=12","")</f>
        <v/>
      </c>
      <c r="Q45" s="4" t="str">
        <f>HYPERLINK("http://141.218.60.56/~jnz1568/getInfo.php?workbook=11_01.xlsx&amp;sheet=A0&amp;row=45&amp;col=17&amp;number=100.25&amp;sourceID=12","100.25")</f>
        <v>100.25</v>
      </c>
      <c r="R45" s="4" t="str">
        <f>HYPERLINK("http://141.218.60.56/~jnz1568/getInfo.php?workbook=11_01.xlsx&amp;sheet=A0&amp;row=45&amp;col=18&amp;number=&amp;sourceID=12","")</f>
        <v/>
      </c>
      <c r="S45" s="4" t="str">
        <f>HYPERLINK("http://141.218.60.56/~jnz1568/getInfo.php?workbook=11_01.xlsx&amp;sheet=A0&amp;row=45&amp;col=19&amp;number=10.224&amp;sourceID=12","10.224")</f>
        <v>10.224</v>
      </c>
      <c r="T45" s="4" t="str">
        <f>HYPERLINK("http://141.218.60.56/~jnz1568/getInfo.php?workbook=11_01.xlsx&amp;sheet=A0&amp;row=45&amp;col=20&amp;number=&amp;sourceID=12","")</f>
        <v/>
      </c>
      <c r="U45" s="4" t="str">
        <f>HYPERLINK("http://141.218.60.56/~jnz1568/getInfo.php?workbook=11_01.xlsx&amp;sheet=A0&amp;row=45&amp;col=21&amp;number=10.22&amp;sourceID=30","10.22")</f>
        <v>10.22</v>
      </c>
      <c r="V45" s="4" t="str">
        <f>HYPERLINK("http://141.218.60.56/~jnz1568/getInfo.php?workbook=11_01.xlsx&amp;sheet=A0&amp;row=45&amp;col=22&amp;number=&amp;sourceID=30","")</f>
        <v/>
      </c>
      <c r="W45" s="4" t="str">
        <f>HYPERLINK("http://141.218.60.56/~jnz1568/getInfo.php?workbook=11_01.xlsx&amp;sheet=A0&amp;row=45&amp;col=23&amp;number=&amp;sourceID=30","")</f>
        <v/>
      </c>
      <c r="X45" s="4" t="str">
        <f>HYPERLINK("http://141.218.60.56/~jnz1568/getInfo.php?workbook=11_01.xlsx&amp;sheet=A0&amp;row=45&amp;col=24&amp;number=&amp;sourceID=30","")</f>
        <v/>
      </c>
      <c r="Y45" s="4" t="str">
        <f>HYPERLINK("http://141.218.60.56/~jnz1568/getInfo.php?workbook=11_01.xlsx&amp;sheet=A0&amp;row=45&amp;col=25&amp;number=10.22&amp;sourceID=30","10.22")</f>
        <v>10.22</v>
      </c>
      <c r="Z45" s="4" t="str">
        <f>HYPERLINK("http://141.218.60.56/~jnz1568/getInfo.php?workbook=11_01.xlsx&amp;sheet=A0&amp;row=45&amp;col=26&amp;number==&amp;sourceID=13","=")</f>
        <v>=</v>
      </c>
      <c r="AA45" s="4" t="str">
        <f>HYPERLINK("http://141.218.60.56/~jnz1568/getInfo.php?workbook=11_01.xlsx&amp;sheet=A0&amp;row=45&amp;col=27&amp;number=&amp;sourceID=13","")</f>
        <v/>
      </c>
      <c r="AB45" s="4" t="str">
        <f>HYPERLINK("http://141.218.60.56/~jnz1568/getInfo.php?workbook=11_01.xlsx&amp;sheet=A0&amp;row=45&amp;col=28&amp;number=&amp;sourceID=13","")</f>
        <v/>
      </c>
      <c r="AC45" s="4" t="str">
        <f>HYPERLINK("http://141.218.60.56/~jnz1568/getInfo.php?workbook=11_01.xlsx&amp;sheet=A0&amp;row=45&amp;col=29&amp;number=155&amp;sourceID=13","155")</f>
        <v>155</v>
      </c>
      <c r="AD45" s="4" t="str">
        <f>HYPERLINK("http://141.218.60.56/~jnz1568/getInfo.php?workbook=11_01.xlsx&amp;sheet=A0&amp;row=45&amp;col=30&amp;number=&amp;sourceID=13","")</f>
        <v/>
      </c>
      <c r="AE45" s="4" t="str">
        <f>HYPERLINK("http://141.218.60.56/~jnz1568/getInfo.php?workbook=11_01.xlsx&amp;sheet=A0&amp;row=45&amp;col=31&amp;number=40.5&amp;sourceID=13","40.5")</f>
        <v>40.5</v>
      </c>
    </row>
    <row r="46" spans="1:31">
      <c r="A46" s="3">
        <v>11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HYPERLINK("http://141.218.60.56/~jnz1568/getInfo.php?workbook=11_01.xlsx&amp;sheet=A0&amp;row=46&amp;col=6&amp;number=&amp;sourceID=18","")</f>
        <v/>
      </c>
      <c r="G46" s="4" t="str">
        <f>HYPERLINK("http://141.218.60.56/~jnz1568/getInfo.php?workbook=11_01.xlsx&amp;sheet=A0&amp;row=46&amp;col=7&amp;number==&amp;sourceID=11","=")</f>
        <v>=</v>
      </c>
      <c r="H46" s="4" t="str">
        <f>HYPERLINK("http://141.218.60.56/~jnz1568/getInfo.php?workbook=11_01.xlsx&amp;sheet=A0&amp;row=46&amp;col=8&amp;number=&amp;sourceID=11","")</f>
        <v/>
      </c>
      <c r="I46" s="4" t="str">
        <f>HYPERLINK("http://141.218.60.56/~jnz1568/getInfo.php?workbook=11_01.xlsx&amp;sheet=A0&amp;row=46&amp;col=9&amp;number=&amp;sourceID=11","")</f>
        <v/>
      </c>
      <c r="J46" s="4" t="str">
        <f>HYPERLINK("http://141.218.60.56/~jnz1568/getInfo.php?workbook=11_01.xlsx&amp;sheet=A0&amp;row=46&amp;col=10&amp;number=&amp;sourceID=11","")</f>
        <v/>
      </c>
      <c r="K46" s="4" t="str">
        <f>HYPERLINK("http://141.218.60.56/~jnz1568/getInfo.php?workbook=11_01.xlsx&amp;sheet=A0&amp;row=46&amp;col=11&amp;number=13839&amp;sourceID=11","13839")</f>
        <v>13839</v>
      </c>
      <c r="L46" s="4" t="str">
        <f>HYPERLINK("http://141.218.60.56/~jnz1568/getInfo.php?workbook=11_01.xlsx&amp;sheet=A0&amp;row=46&amp;col=12&amp;number=&amp;sourceID=11","")</f>
        <v/>
      </c>
      <c r="M46" s="4" t="str">
        <f>HYPERLINK("http://141.218.60.56/~jnz1568/getInfo.php?workbook=11_01.xlsx&amp;sheet=A0&amp;row=46&amp;col=13&amp;number=&amp;sourceID=11","")</f>
        <v/>
      </c>
      <c r="N46" s="4" t="str">
        <f>HYPERLINK("http://141.218.60.56/~jnz1568/getInfo.php?workbook=11_01.xlsx&amp;sheet=A0&amp;row=46&amp;col=14&amp;number=13839&amp;sourceID=12","13839")</f>
        <v>13839</v>
      </c>
      <c r="O46" s="4" t="str">
        <f>HYPERLINK("http://141.218.60.56/~jnz1568/getInfo.php?workbook=11_01.xlsx&amp;sheet=A0&amp;row=46&amp;col=15&amp;number=&amp;sourceID=12","")</f>
        <v/>
      </c>
      <c r="P46" s="4" t="str">
        <f>HYPERLINK("http://141.218.60.56/~jnz1568/getInfo.php?workbook=11_01.xlsx&amp;sheet=A0&amp;row=46&amp;col=16&amp;number=&amp;sourceID=12","")</f>
        <v/>
      </c>
      <c r="Q46" s="4" t="str">
        <f>HYPERLINK("http://141.218.60.56/~jnz1568/getInfo.php?workbook=11_01.xlsx&amp;sheet=A0&amp;row=46&amp;col=17&amp;number=&amp;sourceID=12","")</f>
        <v/>
      </c>
      <c r="R46" s="4" t="str">
        <f>HYPERLINK("http://141.218.60.56/~jnz1568/getInfo.php?workbook=11_01.xlsx&amp;sheet=A0&amp;row=46&amp;col=18&amp;number=13839&amp;sourceID=12","13839")</f>
        <v>13839</v>
      </c>
      <c r="S46" s="4" t="str">
        <f>HYPERLINK("http://141.218.60.56/~jnz1568/getInfo.php?workbook=11_01.xlsx&amp;sheet=A0&amp;row=46&amp;col=19&amp;number=&amp;sourceID=12","")</f>
        <v/>
      </c>
      <c r="T46" s="4" t="str">
        <f>HYPERLINK("http://141.218.60.56/~jnz1568/getInfo.php?workbook=11_01.xlsx&amp;sheet=A0&amp;row=46&amp;col=20&amp;number=&amp;sourceID=12","")</f>
        <v/>
      </c>
      <c r="U46" s="4" t="str">
        <f>HYPERLINK("http://141.218.60.56/~jnz1568/getInfo.php?workbook=11_01.xlsx&amp;sheet=A0&amp;row=46&amp;col=21&amp;number=13840&amp;sourceID=30","13840")</f>
        <v>13840</v>
      </c>
      <c r="V46" s="4" t="str">
        <f>HYPERLINK("http://141.218.60.56/~jnz1568/getInfo.php?workbook=11_01.xlsx&amp;sheet=A0&amp;row=46&amp;col=22&amp;number=&amp;sourceID=30","")</f>
        <v/>
      </c>
      <c r="W46" s="4" t="str">
        <f>HYPERLINK("http://141.218.60.56/~jnz1568/getInfo.php?workbook=11_01.xlsx&amp;sheet=A0&amp;row=46&amp;col=23&amp;number=&amp;sourceID=30","")</f>
        <v/>
      </c>
      <c r="X46" s="4" t="str">
        <f>HYPERLINK("http://141.218.60.56/~jnz1568/getInfo.php?workbook=11_01.xlsx&amp;sheet=A0&amp;row=46&amp;col=24&amp;number=13840&amp;sourceID=30","13840")</f>
        <v>13840</v>
      </c>
      <c r="Y46" s="4" t="str">
        <f>HYPERLINK("http://141.218.60.56/~jnz1568/getInfo.php?workbook=11_01.xlsx&amp;sheet=A0&amp;row=46&amp;col=25&amp;number=&amp;sourceID=30","")</f>
        <v/>
      </c>
      <c r="Z46" s="4" t="str">
        <f>HYPERLINK("http://141.218.60.56/~jnz1568/getInfo.php?workbook=11_01.xlsx&amp;sheet=A0&amp;row=46&amp;col=26&amp;number==&amp;sourceID=13","=")</f>
        <v>=</v>
      </c>
      <c r="AA46" s="4" t="str">
        <f>HYPERLINK("http://141.218.60.56/~jnz1568/getInfo.php?workbook=11_01.xlsx&amp;sheet=A0&amp;row=46&amp;col=27&amp;number=&amp;sourceID=13","")</f>
        <v/>
      </c>
      <c r="AB46" s="4" t="str">
        <f>HYPERLINK("http://141.218.60.56/~jnz1568/getInfo.php?workbook=11_01.xlsx&amp;sheet=A0&amp;row=46&amp;col=28&amp;number=&amp;sourceID=13","")</f>
        <v/>
      </c>
      <c r="AC46" s="4" t="str">
        <f>HYPERLINK("http://141.218.60.56/~jnz1568/getInfo.php?workbook=11_01.xlsx&amp;sheet=A0&amp;row=46&amp;col=29&amp;number=&amp;sourceID=13","")</f>
        <v/>
      </c>
      <c r="AD46" s="4" t="str">
        <f>HYPERLINK("http://141.218.60.56/~jnz1568/getInfo.php?workbook=11_01.xlsx&amp;sheet=A0&amp;row=46&amp;col=30&amp;number=17300&amp;sourceID=13","17300")</f>
        <v>17300</v>
      </c>
      <c r="AE46" s="4" t="str">
        <f>HYPERLINK("http://141.218.60.56/~jnz1568/getInfo.php?workbook=11_01.xlsx&amp;sheet=A0&amp;row=46&amp;col=31&amp;number=&amp;sourceID=13","")</f>
        <v/>
      </c>
    </row>
    <row r="47" spans="1:31">
      <c r="A47" s="3">
        <v>11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HYPERLINK("http://141.218.60.56/~jnz1568/getInfo.php?workbook=11_01.xlsx&amp;sheet=A0&amp;row=47&amp;col=6&amp;number=&amp;sourceID=18","")</f>
        <v/>
      </c>
      <c r="G47" s="4" t="str">
        <f>HYPERLINK("http://141.218.60.56/~jnz1568/getInfo.php?workbook=11_01.xlsx&amp;sheet=A0&amp;row=47&amp;col=7&amp;number==&amp;sourceID=11","=")</f>
        <v>=</v>
      </c>
      <c r="H47" s="4" t="str">
        <f>HYPERLINK("http://141.218.60.56/~jnz1568/getInfo.php?workbook=11_01.xlsx&amp;sheet=A0&amp;row=47&amp;col=8&amp;number=12638000000&amp;sourceID=11","12638000000")</f>
        <v>12638000000</v>
      </c>
      <c r="I47" s="4" t="str">
        <f>HYPERLINK("http://141.218.60.56/~jnz1568/getInfo.php?workbook=11_01.xlsx&amp;sheet=A0&amp;row=47&amp;col=9&amp;number=&amp;sourceID=11","")</f>
        <v/>
      </c>
      <c r="J47" s="4" t="str">
        <f>HYPERLINK("http://141.218.60.56/~jnz1568/getInfo.php?workbook=11_01.xlsx&amp;sheet=A0&amp;row=47&amp;col=10&amp;number=&amp;sourceID=11","")</f>
        <v/>
      </c>
      <c r="K47" s="4" t="str">
        <f>HYPERLINK("http://141.218.60.56/~jnz1568/getInfo.php?workbook=11_01.xlsx&amp;sheet=A0&amp;row=47&amp;col=11&amp;number=&amp;sourceID=11","")</f>
        <v/>
      </c>
      <c r="L47" s="4" t="str">
        <f>HYPERLINK("http://141.218.60.56/~jnz1568/getInfo.php?workbook=11_01.xlsx&amp;sheet=A0&amp;row=47&amp;col=12&amp;number=&amp;sourceID=11","")</f>
        <v/>
      </c>
      <c r="M47" s="4" t="str">
        <f>HYPERLINK("http://141.218.60.56/~jnz1568/getInfo.php?workbook=11_01.xlsx&amp;sheet=A0&amp;row=47&amp;col=13&amp;number=&amp;sourceID=11","")</f>
        <v/>
      </c>
      <c r="N47" s="4" t="str">
        <f>HYPERLINK("http://141.218.60.56/~jnz1568/getInfo.php?workbook=11_01.xlsx&amp;sheet=A0&amp;row=47&amp;col=14&amp;number=12639000000&amp;sourceID=12","12639000000")</f>
        <v>12639000000</v>
      </c>
      <c r="O47" s="4" t="str">
        <f>HYPERLINK("http://141.218.60.56/~jnz1568/getInfo.php?workbook=11_01.xlsx&amp;sheet=A0&amp;row=47&amp;col=15&amp;number=12639000000&amp;sourceID=12","12639000000")</f>
        <v>12639000000</v>
      </c>
      <c r="P47" s="4" t="str">
        <f>HYPERLINK("http://141.218.60.56/~jnz1568/getInfo.php?workbook=11_01.xlsx&amp;sheet=A0&amp;row=47&amp;col=16&amp;number=&amp;sourceID=12","")</f>
        <v/>
      </c>
      <c r="Q47" s="4" t="str">
        <f>HYPERLINK("http://141.218.60.56/~jnz1568/getInfo.php?workbook=11_01.xlsx&amp;sheet=A0&amp;row=47&amp;col=17&amp;number=&amp;sourceID=12","")</f>
        <v/>
      </c>
      <c r="R47" s="4" t="str">
        <f>HYPERLINK("http://141.218.60.56/~jnz1568/getInfo.php?workbook=11_01.xlsx&amp;sheet=A0&amp;row=47&amp;col=18&amp;number=&amp;sourceID=12","")</f>
        <v/>
      </c>
      <c r="S47" s="4" t="str">
        <f>HYPERLINK("http://141.218.60.56/~jnz1568/getInfo.php?workbook=11_01.xlsx&amp;sheet=A0&amp;row=47&amp;col=19&amp;number=&amp;sourceID=12","")</f>
        <v/>
      </c>
      <c r="T47" s="4" t="str">
        <f>HYPERLINK("http://141.218.60.56/~jnz1568/getInfo.php?workbook=11_01.xlsx&amp;sheet=A0&amp;row=47&amp;col=20&amp;number=&amp;sourceID=12","")</f>
        <v/>
      </c>
      <c r="U47" s="4" t="str">
        <f>HYPERLINK("http://141.218.60.56/~jnz1568/getInfo.php?workbook=11_01.xlsx&amp;sheet=A0&amp;row=47&amp;col=21&amp;number=12640000000&amp;sourceID=30","12640000000")</f>
        <v>12640000000</v>
      </c>
      <c r="V47" s="4" t="str">
        <f>HYPERLINK("http://141.218.60.56/~jnz1568/getInfo.php?workbook=11_01.xlsx&amp;sheet=A0&amp;row=47&amp;col=22&amp;number=12640000000&amp;sourceID=30","12640000000")</f>
        <v>12640000000</v>
      </c>
      <c r="W47" s="4" t="str">
        <f>HYPERLINK("http://141.218.60.56/~jnz1568/getInfo.php?workbook=11_01.xlsx&amp;sheet=A0&amp;row=47&amp;col=23&amp;number=&amp;sourceID=30","")</f>
        <v/>
      </c>
      <c r="X47" s="4" t="str">
        <f>HYPERLINK("http://141.218.60.56/~jnz1568/getInfo.php?workbook=11_01.xlsx&amp;sheet=A0&amp;row=47&amp;col=24&amp;number=&amp;sourceID=30","")</f>
        <v/>
      </c>
      <c r="Y47" s="4" t="str">
        <f>HYPERLINK("http://141.218.60.56/~jnz1568/getInfo.php?workbook=11_01.xlsx&amp;sheet=A0&amp;row=47&amp;col=25&amp;number=&amp;sourceID=30","")</f>
        <v/>
      </c>
      <c r="Z47" s="4" t="str">
        <f>HYPERLINK("http://141.218.60.56/~jnz1568/getInfo.php?workbook=11_01.xlsx&amp;sheet=A0&amp;row=47&amp;col=26&amp;number==&amp;sourceID=13","=")</f>
        <v>=</v>
      </c>
      <c r="AA47" s="4" t="str">
        <f>HYPERLINK("http://141.218.60.56/~jnz1568/getInfo.php?workbook=11_01.xlsx&amp;sheet=A0&amp;row=47&amp;col=27&amp;number=11700000000&amp;sourceID=13","11700000000")</f>
        <v>11700000000</v>
      </c>
      <c r="AB47" s="4" t="str">
        <f>HYPERLINK("http://141.218.60.56/~jnz1568/getInfo.php?workbook=11_01.xlsx&amp;sheet=A0&amp;row=47&amp;col=28&amp;number=&amp;sourceID=13","")</f>
        <v/>
      </c>
      <c r="AC47" s="4" t="str">
        <f>HYPERLINK("http://141.218.60.56/~jnz1568/getInfo.php?workbook=11_01.xlsx&amp;sheet=A0&amp;row=47&amp;col=29&amp;number=&amp;sourceID=13","")</f>
        <v/>
      </c>
      <c r="AD47" s="4" t="str">
        <f>HYPERLINK("http://141.218.60.56/~jnz1568/getInfo.php?workbook=11_01.xlsx&amp;sheet=A0&amp;row=47&amp;col=30&amp;number=&amp;sourceID=13","")</f>
        <v/>
      </c>
      <c r="AE47" s="4" t="str">
        <f>HYPERLINK("http://141.218.60.56/~jnz1568/getInfo.php?workbook=11_01.xlsx&amp;sheet=A0&amp;row=47&amp;col=31&amp;number=&amp;sourceID=13","")</f>
        <v/>
      </c>
    </row>
    <row r="48" spans="1:31">
      <c r="A48" s="3">
        <v>11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HYPERLINK("http://141.218.60.56/~jnz1568/getInfo.php?workbook=11_01.xlsx&amp;sheet=A0&amp;row=48&amp;col=6&amp;number=&amp;sourceID=18","")</f>
        <v/>
      </c>
      <c r="G48" s="4" t="str">
        <f>HYPERLINK("http://141.218.60.56/~jnz1568/getInfo.php?workbook=11_01.xlsx&amp;sheet=A0&amp;row=48&amp;col=7&amp;number==&amp;sourceID=11","=")</f>
        <v>=</v>
      </c>
      <c r="H48" s="4" t="str">
        <f>HYPERLINK("http://141.218.60.56/~jnz1568/getInfo.php?workbook=11_01.xlsx&amp;sheet=A0&amp;row=48&amp;col=8&amp;number=&amp;sourceID=11","")</f>
        <v/>
      </c>
      <c r="I48" s="4" t="str">
        <f>HYPERLINK("http://141.218.60.56/~jnz1568/getInfo.php?workbook=11_01.xlsx&amp;sheet=A0&amp;row=48&amp;col=9&amp;number=&amp;sourceID=11","")</f>
        <v/>
      </c>
      <c r="J48" s="4" t="str">
        <f>HYPERLINK("http://141.218.60.56/~jnz1568/getInfo.php?workbook=11_01.xlsx&amp;sheet=A0&amp;row=48&amp;col=10&amp;number=&amp;sourceID=11","")</f>
        <v/>
      </c>
      <c r="K48" s="4" t="str">
        <f>HYPERLINK("http://141.218.60.56/~jnz1568/getInfo.php?workbook=11_01.xlsx&amp;sheet=A0&amp;row=48&amp;col=11&amp;number=42.367&amp;sourceID=11","42.367")</f>
        <v>42.367</v>
      </c>
      <c r="L48" s="4" t="str">
        <f>HYPERLINK("http://141.218.60.56/~jnz1568/getInfo.php?workbook=11_01.xlsx&amp;sheet=A0&amp;row=48&amp;col=12&amp;number=&amp;sourceID=11","")</f>
        <v/>
      </c>
      <c r="M48" s="4" t="str">
        <f>HYPERLINK("http://141.218.60.56/~jnz1568/getInfo.php?workbook=11_01.xlsx&amp;sheet=A0&amp;row=48&amp;col=13&amp;number=&amp;sourceID=11","")</f>
        <v/>
      </c>
      <c r="N48" s="4" t="str">
        <f>HYPERLINK("http://141.218.60.56/~jnz1568/getInfo.php?workbook=11_01.xlsx&amp;sheet=A0&amp;row=48&amp;col=14&amp;number=42.368&amp;sourceID=12","42.368")</f>
        <v>42.368</v>
      </c>
      <c r="O48" s="4" t="str">
        <f>HYPERLINK("http://141.218.60.56/~jnz1568/getInfo.php?workbook=11_01.xlsx&amp;sheet=A0&amp;row=48&amp;col=15&amp;number=&amp;sourceID=12","")</f>
        <v/>
      </c>
      <c r="P48" s="4" t="str">
        <f>HYPERLINK("http://141.218.60.56/~jnz1568/getInfo.php?workbook=11_01.xlsx&amp;sheet=A0&amp;row=48&amp;col=16&amp;number=&amp;sourceID=12","")</f>
        <v/>
      </c>
      <c r="Q48" s="4" t="str">
        <f>HYPERLINK("http://141.218.60.56/~jnz1568/getInfo.php?workbook=11_01.xlsx&amp;sheet=A0&amp;row=48&amp;col=17&amp;number=&amp;sourceID=12","")</f>
        <v/>
      </c>
      <c r="R48" s="4" t="str">
        <f>HYPERLINK("http://141.218.60.56/~jnz1568/getInfo.php?workbook=11_01.xlsx&amp;sheet=A0&amp;row=48&amp;col=18&amp;number=42.368&amp;sourceID=12","42.368")</f>
        <v>42.368</v>
      </c>
      <c r="S48" s="4" t="str">
        <f>HYPERLINK("http://141.218.60.56/~jnz1568/getInfo.php?workbook=11_01.xlsx&amp;sheet=A0&amp;row=48&amp;col=19&amp;number=&amp;sourceID=12","")</f>
        <v/>
      </c>
      <c r="T48" s="4" t="str">
        <f>HYPERLINK("http://141.218.60.56/~jnz1568/getInfo.php?workbook=11_01.xlsx&amp;sheet=A0&amp;row=48&amp;col=20&amp;number=&amp;sourceID=12","")</f>
        <v/>
      </c>
      <c r="U48" s="4" t="str">
        <f>HYPERLINK("http://141.218.60.56/~jnz1568/getInfo.php?workbook=11_01.xlsx&amp;sheet=A0&amp;row=48&amp;col=21&amp;number=42.36&amp;sourceID=30","42.36")</f>
        <v>42.36</v>
      </c>
      <c r="V48" s="4" t="str">
        <f>HYPERLINK("http://141.218.60.56/~jnz1568/getInfo.php?workbook=11_01.xlsx&amp;sheet=A0&amp;row=48&amp;col=22&amp;number=&amp;sourceID=30","")</f>
        <v/>
      </c>
      <c r="W48" s="4" t="str">
        <f>HYPERLINK("http://141.218.60.56/~jnz1568/getInfo.php?workbook=11_01.xlsx&amp;sheet=A0&amp;row=48&amp;col=23&amp;number=&amp;sourceID=30","")</f>
        <v/>
      </c>
      <c r="X48" s="4" t="str">
        <f>HYPERLINK("http://141.218.60.56/~jnz1568/getInfo.php?workbook=11_01.xlsx&amp;sheet=A0&amp;row=48&amp;col=24&amp;number=42.36&amp;sourceID=30","42.36")</f>
        <v>42.36</v>
      </c>
      <c r="Y48" s="4" t="str">
        <f>HYPERLINK("http://141.218.60.56/~jnz1568/getInfo.php?workbook=11_01.xlsx&amp;sheet=A0&amp;row=48&amp;col=25&amp;number=&amp;sourceID=30","")</f>
        <v/>
      </c>
      <c r="Z48" s="4" t="str">
        <f>HYPERLINK("http://141.218.60.56/~jnz1568/getInfo.php?workbook=11_01.xlsx&amp;sheet=A0&amp;row=48&amp;col=26&amp;number==&amp;sourceID=13","=")</f>
        <v>=</v>
      </c>
      <c r="AA48" s="4" t="str">
        <f>HYPERLINK("http://141.218.60.56/~jnz1568/getInfo.php?workbook=11_01.xlsx&amp;sheet=A0&amp;row=48&amp;col=27&amp;number=&amp;sourceID=13","")</f>
        <v/>
      </c>
      <c r="AB48" s="4" t="str">
        <f>HYPERLINK("http://141.218.60.56/~jnz1568/getInfo.php?workbook=11_01.xlsx&amp;sheet=A0&amp;row=48&amp;col=28&amp;number=&amp;sourceID=13","")</f>
        <v/>
      </c>
      <c r="AC48" s="4" t="str">
        <f>HYPERLINK("http://141.218.60.56/~jnz1568/getInfo.php?workbook=11_01.xlsx&amp;sheet=A0&amp;row=48&amp;col=29&amp;number=&amp;sourceID=13","")</f>
        <v/>
      </c>
      <c r="AD48" s="4" t="str">
        <f>HYPERLINK("http://141.218.60.56/~jnz1568/getInfo.php?workbook=11_01.xlsx&amp;sheet=A0&amp;row=48&amp;col=30&amp;number=43&amp;sourceID=13","43")</f>
        <v>43</v>
      </c>
      <c r="AE48" s="4" t="str">
        <f>HYPERLINK("http://141.218.60.56/~jnz1568/getInfo.php?workbook=11_01.xlsx&amp;sheet=A0&amp;row=48&amp;col=31&amp;number=&amp;sourceID=13","")</f>
        <v/>
      </c>
    </row>
    <row r="49" spans="1:31">
      <c r="A49" s="3">
        <v>11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HYPERLINK("http://141.218.60.56/~jnz1568/getInfo.php?workbook=11_01.xlsx&amp;sheet=A0&amp;row=49&amp;col=6&amp;number=&amp;sourceID=18","")</f>
        <v/>
      </c>
      <c r="G49" s="4" t="str">
        <f>HYPERLINK("http://141.218.60.56/~jnz1568/getInfo.php?workbook=11_01.xlsx&amp;sheet=A0&amp;row=49&amp;col=7&amp;number==&amp;sourceID=11","=")</f>
        <v>=</v>
      </c>
      <c r="H49" s="4" t="str">
        <f>HYPERLINK("http://141.218.60.56/~jnz1568/getInfo.php?workbook=11_01.xlsx&amp;sheet=A0&amp;row=49&amp;col=8&amp;number=25595000000&amp;sourceID=11","25595000000")</f>
        <v>25595000000</v>
      </c>
      <c r="I49" s="4" t="str">
        <f>HYPERLINK("http://141.218.60.56/~jnz1568/getInfo.php?workbook=11_01.xlsx&amp;sheet=A0&amp;row=49&amp;col=9&amp;number=&amp;sourceID=11","")</f>
        <v/>
      </c>
      <c r="J49" s="4" t="str">
        <f>HYPERLINK("http://141.218.60.56/~jnz1568/getInfo.php?workbook=11_01.xlsx&amp;sheet=A0&amp;row=49&amp;col=10&amp;number=&amp;sourceID=11","")</f>
        <v/>
      </c>
      <c r="K49" s="4" t="str">
        <f>HYPERLINK("http://141.218.60.56/~jnz1568/getInfo.php?workbook=11_01.xlsx&amp;sheet=A0&amp;row=49&amp;col=11&amp;number=&amp;sourceID=11","")</f>
        <v/>
      </c>
      <c r="L49" s="4" t="str">
        <f>HYPERLINK("http://141.218.60.56/~jnz1568/getInfo.php?workbook=11_01.xlsx&amp;sheet=A0&amp;row=49&amp;col=12&amp;number=1753.9&amp;sourceID=11","1753.9")</f>
        <v>1753.9</v>
      </c>
      <c r="M49" s="4" t="str">
        <f>HYPERLINK("http://141.218.60.56/~jnz1568/getInfo.php?workbook=11_01.xlsx&amp;sheet=A0&amp;row=49&amp;col=13&amp;number=&amp;sourceID=11","")</f>
        <v/>
      </c>
      <c r="N49" s="4" t="str">
        <f>HYPERLINK("http://141.218.60.56/~jnz1568/getInfo.php?workbook=11_01.xlsx&amp;sheet=A0&amp;row=49&amp;col=14&amp;number=25595000000&amp;sourceID=12","25595000000")</f>
        <v>25595000000</v>
      </c>
      <c r="O49" s="4" t="str">
        <f>HYPERLINK("http://141.218.60.56/~jnz1568/getInfo.php?workbook=11_01.xlsx&amp;sheet=A0&amp;row=49&amp;col=15&amp;number=25595000000&amp;sourceID=12","25595000000")</f>
        <v>25595000000</v>
      </c>
      <c r="P49" s="4" t="str">
        <f>HYPERLINK("http://141.218.60.56/~jnz1568/getInfo.php?workbook=11_01.xlsx&amp;sheet=A0&amp;row=49&amp;col=16&amp;number=&amp;sourceID=12","")</f>
        <v/>
      </c>
      <c r="Q49" s="4" t="str">
        <f>HYPERLINK("http://141.218.60.56/~jnz1568/getInfo.php?workbook=11_01.xlsx&amp;sheet=A0&amp;row=49&amp;col=17&amp;number=&amp;sourceID=12","")</f>
        <v/>
      </c>
      <c r="R49" s="4" t="str">
        <f>HYPERLINK("http://141.218.60.56/~jnz1568/getInfo.php?workbook=11_01.xlsx&amp;sheet=A0&amp;row=49&amp;col=18&amp;number=&amp;sourceID=12","")</f>
        <v/>
      </c>
      <c r="S49" s="4" t="str">
        <f>HYPERLINK("http://141.218.60.56/~jnz1568/getInfo.php?workbook=11_01.xlsx&amp;sheet=A0&amp;row=49&amp;col=19&amp;number=1754&amp;sourceID=12","1754")</f>
        <v>1754</v>
      </c>
      <c r="T49" s="4" t="str">
        <f>HYPERLINK("http://141.218.60.56/~jnz1568/getInfo.php?workbook=11_01.xlsx&amp;sheet=A0&amp;row=49&amp;col=20&amp;number=&amp;sourceID=12","")</f>
        <v/>
      </c>
      <c r="U49" s="4" t="str">
        <f>HYPERLINK("http://141.218.60.56/~jnz1568/getInfo.php?workbook=11_01.xlsx&amp;sheet=A0&amp;row=49&amp;col=21&amp;number=25600001754&amp;sourceID=30","25600001754")</f>
        <v>25600001754</v>
      </c>
      <c r="V49" s="4" t="str">
        <f>HYPERLINK("http://141.218.60.56/~jnz1568/getInfo.php?workbook=11_01.xlsx&amp;sheet=A0&amp;row=49&amp;col=22&amp;number=25600000000&amp;sourceID=30","25600000000")</f>
        <v>25600000000</v>
      </c>
      <c r="W49" s="4" t="str">
        <f>HYPERLINK("http://141.218.60.56/~jnz1568/getInfo.php?workbook=11_01.xlsx&amp;sheet=A0&amp;row=49&amp;col=23&amp;number=&amp;sourceID=30","")</f>
        <v/>
      </c>
      <c r="X49" s="4" t="str">
        <f>HYPERLINK("http://141.218.60.56/~jnz1568/getInfo.php?workbook=11_01.xlsx&amp;sheet=A0&amp;row=49&amp;col=24&amp;number=&amp;sourceID=30","")</f>
        <v/>
      </c>
      <c r="Y49" s="4" t="str">
        <f>HYPERLINK("http://141.218.60.56/~jnz1568/getInfo.php?workbook=11_01.xlsx&amp;sheet=A0&amp;row=49&amp;col=25&amp;number=1754&amp;sourceID=30","1754")</f>
        <v>1754</v>
      </c>
      <c r="Z49" s="4" t="str">
        <f>HYPERLINK("http://141.218.60.56/~jnz1568/getInfo.php?workbook=11_01.xlsx&amp;sheet=A0&amp;row=49&amp;col=26&amp;number==&amp;sourceID=13","=")</f>
        <v>=</v>
      </c>
      <c r="AA49" s="4" t="str">
        <f>HYPERLINK("http://141.218.60.56/~jnz1568/getInfo.php?workbook=11_01.xlsx&amp;sheet=A0&amp;row=49&amp;col=27&amp;number=24800000000&amp;sourceID=13","24800000000")</f>
        <v>24800000000</v>
      </c>
      <c r="AB49" s="4" t="str">
        <f>HYPERLINK("http://141.218.60.56/~jnz1568/getInfo.php?workbook=11_01.xlsx&amp;sheet=A0&amp;row=49&amp;col=28&amp;number=&amp;sourceID=13","")</f>
        <v/>
      </c>
      <c r="AC49" s="4" t="str">
        <f>HYPERLINK("http://141.218.60.56/~jnz1568/getInfo.php?workbook=11_01.xlsx&amp;sheet=A0&amp;row=49&amp;col=29&amp;number=&amp;sourceID=13","")</f>
        <v/>
      </c>
      <c r="AD49" s="4" t="str">
        <f>HYPERLINK("http://141.218.60.56/~jnz1568/getInfo.php?workbook=11_01.xlsx&amp;sheet=A0&amp;row=49&amp;col=30&amp;number=&amp;sourceID=13","")</f>
        <v/>
      </c>
      <c r="AE49" s="4" t="str">
        <f>HYPERLINK("http://141.218.60.56/~jnz1568/getInfo.php?workbook=11_01.xlsx&amp;sheet=A0&amp;row=49&amp;col=31&amp;number=&amp;sourceID=13","")</f>
        <v/>
      </c>
    </row>
    <row r="50" spans="1:31">
      <c r="A50" s="3">
        <v>11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HYPERLINK("http://141.218.60.56/~jnz1568/getInfo.php?workbook=11_01.xlsx&amp;sheet=A0&amp;row=50&amp;col=6&amp;number=&amp;sourceID=18","")</f>
        <v/>
      </c>
      <c r="G50" s="4" t="str">
        <f>HYPERLINK("http://141.218.60.56/~jnz1568/getInfo.php?workbook=11_01.xlsx&amp;sheet=A0&amp;row=50&amp;col=7&amp;number==&amp;sourceID=11","=")</f>
        <v>=</v>
      </c>
      <c r="H50" s="4" t="str">
        <f>HYPERLINK("http://141.218.60.56/~jnz1568/getInfo.php?workbook=11_01.xlsx&amp;sheet=A0&amp;row=50&amp;col=8&amp;number=8991500000&amp;sourceID=11","8991500000")</f>
        <v>8991500000</v>
      </c>
      <c r="I50" s="4" t="str">
        <f>HYPERLINK("http://141.218.60.56/~jnz1568/getInfo.php?workbook=11_01.xlsx&amp;sheet=A0&amp;row=50&amp;col=9&amp;number=&amp;sourceID=11","")</f>
        <v/>
      </c>
      <c r="J50" s="4" t="str">
        <f>HYPERLINK("http://141.218.60.56/~jnz1568/getInfo.php?workbook=11_01.xlsx&amp;sheet=A0&amp;row=50&amp;col=10&amp;number=&amp;sourceID=11","")</f>
        <v/>
      </c>
      <c r="K50" s="4" t="str">
        <f>HYPERLINK("http://141.218.60.56/~jnz1568/getInfo.php?workbook=11_01.xlsx&amp;sheet=A0&amp;row=50&amp;col=11&amp;number=&amp;sourceID=11","")</f>
        <v/>
      </c>
      <c r="L50" s="4" t="str">
        <f>HYPERLINK("http://141.218.60.56/~jnz1568/getInfo.php?workbook=11_01.xlsx&amp;sheet=A0&amp;row=50&amp;col=12&amp;number=&amp;sourceID=11","")</f>
        <v/>
      </c>
      <c r="M50" s="4" t="str">
        <f>HYPERLINK("http://141.218.60.56/~jnz1568/getInfo.php?workbook=11_01.xlsx&amp;sheet=A0&amp;row=50&amp;col=13&amp;number=&amp;sourceID=11","")</f>
        <v/>
      </c>
      <c r="N50" s="4" t="str">
        <f>HYPERLINK("http://141.218.60.56/~jnz1568/getInfo.php?workbook=11_01.xlsx&amp;sheet=A0&amp;row=50&amp;col=14&amp;number=8991700000&amp;sourceID=12","8991700000")</f>
        <v>8991700000</v>
      </c>
      <c r="O50" s="4" t="str">
        <f>HYPERLINK("http://141.218.60.56/~jnz1568/getInfo.php?workbook=11_01.xlsx&amp;sheet=A0&amp;row=50&amp;col=15&amp;number=8991700000&amp;sourceID=12","8991700000")</f>
        <v>8991700000</v>
      </c>
      <c r="P50" s="4" t="str">
        <f>HYPERLINK("http://141.218.60.56/~jnz1568/getInfo.php?workbook=11_01.xlsx&amp;sheet=A0&amp;row=50&amp;col=16&amp;number=&amp;sourceID=12","")</f>
        <v/>
      </c>
      <c r="Q50" s="4" t="str">
        <f>HYPERLINK("http://141.218.60.56/~jnz1568/getInfo.php?workbook=11_01.xlsx&amp;sheet=A0&amp;row=50&amp;col=17&amp;number=&amp;sourceID=12","")</f>
        <v/>
      </c>
      <c r="R50" s="4" t="str">
        <f>HYPERLINK("http://141.218.60.56/~jnz1568/getInfo.php?workbook=11_01.xlsx&amp;sheet=A0&amp;row=50&amp;col=18&amp;number=&amp;sourceID=12","")</f>
        <v/>
      </c>
      <c r="S50" s="4" t="str">
        <f>HYPERLINK("http://141.218.60.56/~jnz1568/getInfo.php?workbook=11_01.xlsx&amp;sheet=A0&amp;row=50&amp;col=19&amp;number=&amp;sourceID=12","")</f>
        <v/>
      </c>
      <c r="T50" s="4" t="str">
        <f>HYPERLINK("http://141.218.60.56/~jnz1568/getInfo.php?workbook=11_01.xlsx&amp;sheet=A0&amp;row=50&amp;col=20&amp;number=&amp;sourceID=12","")</f>
        <v/>
      </c>
      <c r="U50" s="4" t="str">
        <f>HYPERLINK("http://141.218.60.56/~jnz1568/getInfo.php?workbook=11_01.xlsx&amp;sheet=A0&amp;row=50&amp;col=21&amp;number=8992000000&amp;sourceID=30","8992000000")</f>
        <v>8992000000</v>
      </c>
      <c r="V50" s="4" t="str">
        <f>HYPERLINK("http://141.218.60.56/~jnz1568/getInfo.php?workbook=11_01.xlsx&amp;sheet=A0&amp;row=50&amp;col=22&amp;number=8992000000&amp;sourceID=30","8992000000")</f>
        <v>8992000000</v>
      </c>
      <c r="W50" s="4" t="str">
        <f>HYPERLINK("http://141.218.60.56/~jnz1568/getInfo.php?workbook=11_01.xlsx&amp;sheet=A0&amp;row=50&amp;col=23&amp;number=&amp;sourceID=30","")</f>
        <v/>
      </c>
      <c r="X50" s="4" t="str">
        <f>HYPERLINK("http://141.218.60.56/~jnz1568/getInfo.php?workbook=11_01.xlsx&amp;sheet=A0&amp;row=50&amp;col=24&amp;number=&amp;sourceID=30","")</f>
        <v/>
      </c>
      <c r="Y50" s="4" t="str">
        <f>HYPERLINK("http://141.218.60.56/~jnz1568/getInfo.php?workbook=11_01.xlsx&amp;sheet=A0&amp;row=50&amp;col=25&amp;number=&amp;sourceID=30","")</f>
        <v/>
      </c>
      <c r="Z50" s="4" t="str">
        <f>HYPERLINK("http://141.218.60.56/~jnz1568/getInfo.php?workbook=11_01.xlsx&amp;sheet=A0&amp;row=50&amp;col=26&amp;number==&amp;sourceID=13","=")</f>
        <v>=</v>
      </c>
      <c r="AA50" s="4" t="str">
        <f>HYPERLINK("http://141.218.60.56/~jnz1568/getInfo.php?workbook=11_01.xlsx&amp;sheet=A0&amp;row=50&amp;col=27&amp;number=8800000000&amp;sourceID=13","8800000000")</f>
        <v>8800000000</v>
      </c>
      <c r="AB50" s="4" t="str">
        <f>HYPERLINK("http://141.218.60.56/~jnz1568/getInfo.php?workbook=11_01.xlsx&amp;sheet=A0&amp;row=50&amp;col=28&amp;number=&amp;sourceID=13","")</f>
        <v/>
      </c>
      <c r="AC50" s="4" t="str">
        <f>HYPERLINK("http://141.218.60.56/~jnz1568/getInfo.php?workbook=11_01.xlsx&amp;sheet=A0&amp;row=50&amp;col=29&amp;number=&amp;sourceID=13","")</f>
        <v/>
      </c>
      <c r="AD50" s="4" t="str">
        <f>HYPERLINK("http://141.218.60.56/~jnz1568/getInfo.php?workbook=11_01.xlsx&amp;sheet=A0&amp;row=50&amp;col=30&amp;number=&amp;sourceID=13","")</f>
        <v/>
      </c>
      <c r="AE50" s="4" t="str">
        <f>HYPERLINK("http://141.218.60.56/~jnz1568/getInfo.php?workbook=11_01.xlsx&amp;sheet=A0&amp;row=50&amp;col=31&amp;number=&amp;sourceID=13","")</f>
        <v/>
      </c>
    </row>
    <row r="51" spans="1:31">
      <c r="A51" s="3">
        <v>11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HYPERLINK("http://141.218.60.56/~jnz1568/getInfo.php?workbook=11_01.xlsx&amp;sheet=A0&amp;row=51&amp;col=6&amp;number=&amp;sourceID=18","")</f>
        <v/>
      </c>
      <c r="G51" s="4" t="str">
        <f>HYPERLINK("http://141.218.60.56/~jnz1568/getInfo.php?workbook=11_01.xlsx&amp;sheet=A0&amp;row=51&amp;col=7&amp;number==&amp;sourceID=11","=")</f>
        <v>=</v>
      </c>
      <c r="H51" s="4" t="str">
        <f>HYPERLINK("http://141.218.60.56/~jnz1568/getInfo.php?workbook=11_01.xlsx&amp;sheet=A0&amp;row=51&amp;col=8&amp;number=&amp;sourceID=11","")</f>
        <v/>
      </c>
      <c r="I51" s="4" t="str">
        <f>HYPERLINK("http://141.218.60.56/~jnz1568/getInfo.php?workbook=11_01.xlsx&amp;sheet=A0&amp;row=51&amp;col=9&amp;number=&amp;sourceID=11","")</f>
        <v/>
      </c>
      <c r="J51" s="4" t="str">
        <f>HYPERLINK("http://141.218.60.56/~jnz1568/getInfo.php?workbook=11_01.xlsx&amp;sheet=A0&amp;row=51&amp;col=10&amp;number=&amp;sourceID=11","")</f>
        <v/>
      </c>
      <c r="K51" s="4" t="str">
        <f>HYPERLINK("http://141.218.60.56/~jnz1568/getInfo.php?workbook=11_01.xlsx&amp;sheet=A0&amp;row=51&amp;col=11&amp;number=0.53551&amp;sourceID=11","0.53551")</f>
        <v>0.53551</v>
      </c>
      <c r="L51" s="4" t="str">
        <f>HYPERLINK("http://141.218.60.56/~jnz1568/getInfo.php?workbook=11_01.xlsx&amp;sheet=A0&amp;row=51&amp;col=12&amp;number=&amp;sourceID=11","")</f>
        <v/>
      </c>
      <c r="M51" s="4" t="str">
        <f>HYPERLINK("http://141.218.60.56/~jnz1568/getInfo.php?workbook=11_01.xlsx&amp;sheet=A0&amp;row=51&amp;col=13&amp;number=&amp;sourceID=11","")</f>
        <v/>
      </c>
      <c r="N51" s="4" t="str">
        <f>HYPERLINK("http://141.218.60.56/~jnz1568/getInfo.php?workbook=11_01.xlsx&amp;sheet=A0&amp;row=51&amp;col=14&amp;number=0.53552&amp;sourceID=12","0.53552")</f>
        <v>0.53552</v>
      </c>
      <c r="O51" s="4" t="str">
        <f>HYPERLINK("http://141.218.60.56/~jnz1568/getInfo.php?workbook=11_01.xlsx&amp;sheet=A0&amp;row=51&amp;col=15&amp;number=&amp;sourceID=12","")</f>
        <v/>
      </c>
      <c r="P51" s="4" t="str">
        <f>HYPERLINK("http://141.218.60.56/~jnz1568/getInfo.php?workbook=11_01.xlsx&amp;sheet=A0&amp;row=51&amp;col=16&amp;number=&amp;sourceID=12","")</f>
        <v/>
      </c>
      <c r="Q51" s="4" t="str">
        <f>HYPERLINK("http://141.218.60.56/~jnz1568/getInfo.php?workbook=11_01.xlsx&amp;sheet=A0&amp;row=51&amp;col=17&amp;number=&amp;sourceID=12","")</f>
        <v/>
      </c>
      <c r="R51" s="4" t="str">
        <f>HYPERLINK("http://141.218.60.56/~jnz1568/getInfo.php?workbook=11_01.xlsx&amp;sheet=A0&amp;row=51&amp;col=18&amp;number=0.53552&amp;sourceID=12","0.53552")</f>
        <v>0.53552</v>
      </c>
      <c r="S51" s="4" t="str">
        <f>HYPERLINK("http://141.218.60.56/~jnz1568/getInfo.php?workbook=11_01.xlsx&amp;sheet=A0&amp;row=51&amp;col=19&amp;number=&amp;sourceID=12","")</f>
        <v/>
      </c>
      <c r="T51" s="4" t="str">
        <f>HYPERLINK("http://141.218.60.56/~jnz1568/getInfo.php?workbook=11_01.xlsx&amp;sheet=A0&amp;row=51&amp;col=20&amp;number=&amp;sourceID=12","")</f>
        <v/>
      </c>
      <c r="U51" s="4" t="str">
        <f>HYPERLINK("http://141.218.60.56/~jnz1568/getInfo.php?workbook=11_01.xlsx&amp;sheet=A0&amp;row=51&amp;col=21&amp;number=0.5353&amp;sourceID=30","0.5353")</f>
        <v>0.5353</v>
      </c>
      <c r="V51" s="4" t="str">
        <f>HYPERLINK("http://141.218.60.56/~jnz1568/getInfo.php?workbook=11_01.xlsx&amp;sheet=A0&amp;row=51&amp;col=22&amp;number=&amp;sourceID=30","")</f>
        <v/>
      </c>
      <c r="W51" s="4" t="str">
        <f>HYPERLINK("http://141.218.60.56/~jnz1568/getInfo.php?workbook=11_01.xlsx&amp;sheet=A0&amp;row=51&amp;col=23&amp;number=&amp;sourceID=30","")</f>
        <v/>
      </c>
      <c r="X51" s="4" t="str">
        <f>HYPERLINK("http://141.218.60.56/~jnz1568/getInfo.php?workbook=11_01.xlsx&amp;sheet=A0&amp;row=51&amp;col=24&amp;number=0.5353&amp;sourceID=30","0.5353")</f>
        <v>0.5353</v>
      </c>
      <c r="Y51" s="4" t="str">
        <f>HYPERLINK("http://141.218.60.56/~jnz1568/getInfo.php?workbook=11_01.xlsx&amp;sheet=A0&amp;row=51&amp;col=25&amp;number=&amp;sourceID=30","")</f>
        <v/>
      </c>
      <c r="Z51" s="4" t="str">
        <f>HYPERLINK("http://141.218.60.56/~jnz1568/getInfo.php?workbook=11_01.xlsx&amp;sheet=A0&amp;row=51&amp;col=26&amp;number==&amp;sourceID=13","=")</f>
        <v>=</v>
      </c>
      <c r="AA51" s="4" t="str">
        <f>HYPERLINK("http://141.218.60.56/~jnz1568/getInfo.php?workbook=11_01.xlsx&amp;sheet=A0&amp;row=51&amp;col=27&amp;number=&amp;sourceID=13","")</f>
        <v/>
      </c>
      <c r="AB51" s="4" t="str">
        <f>HYPERLINK("http://141.218.60.56/~jnz1568/getInfo.php?workbook=11_01.xlsx&amp;sheet=A0&amp;row=51&amp;col=28&amp;number=&amp;sourceID=13","")</f>
        <v/>
      </c>
      <c r="AC51" s="4" t="str">
        <f>HYPERLINK("http://141.218.60.56/~jnz1568/getInfo.php?workbook=11_01.xlsx&amp;sheet=A0&amp;row=51&amp;col=29&amp;number=&amp;sourceID=13","")</f>
        <v/>
      </c>
      <c r="AD51" s="4" t="str">
        <f>HYPERLINK("http://141.218.60.56/~jnz1568/getInfo.php?workbook=11_01.xlsx&amp;sheet=A0&amp;row=51&amp;col=30&amp;number=0.524&amp;sourceID=13","0.524")</f>
        <v>0.524</v>
      </c>
      <c r="AE51" s="4" t="str">
        <f>HYPERLINK("http://141.218.60.56/~jnz1568/getInfo.php?workbook=11_01.xlsx&amp;sheet=A0&amp;row=51&amp;col=31&amp;number=&amp;sourceID=13","")</f>
        <v/>
      </c>
    </row>
    <row r="52" spans="1:31">
      <c r="A52" s="3">
        <v>11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HYPERLINK("http://141.218.60.56/~jnz1568/getInfo.php?workbook=11_01.xlsx&amp;sheet=A0&amp;row=52&amp;col=6&amp;number=&amp;sourceID=18","")</f>
        <v/>
      </c>
      <c r="G52" s="4" t="str">
        <f>HYPERLINK("http://141.218.60.56/~jnz1568/getInfo.php?workbook=11_01.xlsx&amp;sheet=A0&amp;row=52&amp;col=7&amp;number==&amp;sourceID=11","=")</f>
        <v>=</v>
      </c>
      <c r="H52" s="4" t="str">
        <f>HYPERLINK("http://141.218.60.56/~jnz1568/getInfo.php?workbook=11_01.xlsx&amp;sheet=A0&amp;row=52&amp;col=8&amp;number=&amp;sourceID=11","")</f>
        <v/>
      </c>
      <c r="I52" s="4" t="str">
        <f>HYPERLINK("http://141.218.60.56/~jnz1568/getInfo.php?workbook=11_01.xlsx&amp;sheet=A0&amp;row=52&amp;col=9&amp;number=732990&amp;sourceID=11","732990")</f>
        <v>732990</v>
      </c>
      <c r="J52" s="4" t="str">
        <f>HYPERLINK("http://141.218.60.56/~jnz1568/getInfo.php?workbook=11_01.xlsx&amp;sheet=A0&amp;row=52&amp;col=10&amp;number=&amp;sourceID=11","")</f>
        <v/>
      </c>
      <c r="K52" s="4" t="str">
        <f>HYPERLINK("http://141.218.60.56/~jnz1568/getInfo.php?workbook=11_01.xlsx&amp;sheet=A0&amp;row=52&amp;col=11&amp;number=0.00017764&amp;sourceID=11","0.00017764")</f>
        <v>0.00017764</v>
      </c>
      <c r="L52" s="4" t="str">
        <f>HYPERLINK("http://141.218.60.56/~jnz1568/getInfo.php?workbook=11_01.xlsx&amp;sheet=A0&amp;row=52&amp;col=12&amp;number=&amp;sourceID=11","")</f>
        <v/>
      </c>
      <c r="M52" s="4" t="str">
        <f>HYPERLINK("http://141.218.60.56/~jnz1568/getInfo.php?workbook=11_01.xlsx&amp;sheet=A0&amp;row=52&amp;col=13&amp;number=&amp;sourceID=11","")</f>
        <v/>
      </c>
      <c r="N52" s="4" t="str">
        <f>HYPERLINK("http://141.218.60.56/~jnz1568/getInfo.php?workbook=11_01.xlsx&amp;sheet=A0&amp;row=52&amp;col=14&amp;number=733010&amp;sourceID=12","733010")</f>
        <v>733010</v>
      </c>
      <c r="O52" s="4" t="str">
        <f>HYPERLINK("http://141.218.60.56/~jnz1568/getInfo.php?workbook=11_01.xlsx&amp;sheet=A0&amp;row=52&amp;col=15&amp;number=&amp;sourceID=12","")</f>
        <v/>
      </c>
      <c r="P52" s="4" t="str">
        <f>HYPERLINK("http://141.218.60.56/~jnz1568/getInfo.php?workbook=11_01.xlsx&amp;sheet=A0&amp;row=52&amp;col=16&amp;number=733010&amp;sourceID=12","733010")</f>
        <v>733010</v>
      </c>
      <c r="Q52" s="4" t="str">
        <f>HYPERLINK("http://141.218.60.56/~jnz1568/getInfo.php?workbook=11_01.xlsx&amp;sheet=A0&amp;row=52&amp;col=17&amp;number=&amp;sourceID=12","")</f>
        <v/>
      </c>
      <c r="R52" s="4" t="str">
        <f>HYPERLINK("http://141.218.60.56/~jnz1568/getInfo.php?workbook=11_01.xlsx&amp;sheet=A0&amp;row=52&amp;col=18&amp;number=0.00017764&amp;sourceID=12","0.00017764")</f>
        <v>0.00017764</v>
      </c>
      <c r="S52" s="4" t="str">
        <f>HYPERLINK("http://141.218.60.56/~jnz1568/getInfo.php?workbook=11_01.xlsx&amp;sheet=A0&amp;row=52&amp;col=19&amp;number=&amp;sourceID=12","")</f>
        <v/>
      </c>
      <c r="T52" s="4" t="str">
        <f>HYPERLINK("http://141.218.60.56/~jnz1568/getInfo.php?workbook=11_01.xlsx&amp;sheet=A0&amp;row=52&amp;col=20&amp;number=&amp;sourceID=12","")</f>
        <v/>
      </c>
      <c r="U52" s="4" t="str">
        <f>HYPERLINK("http://141.218.60.56/~jnz1568/getInfo.php?workbook=11_01.xlsx&amp;sheet=A0&amp;row=52&amp;col=21&amp;number=733000.000179&amp;sourceID=30","733000.000179")</f>
        <v>733000.000179</v>
      </c>
      <c r="V52" s="4" t="str">
        <f>HYPERLINK("http://141.218.60.56/~jnz1568/getInfo.php?workbook=11_01.xlsx&amp;sheet=A0&amp;row=52&amp;col=22&amp;number=&amp;sourceID=30","")</f>
        <v/>
      </c>
      <c r="W52" s="4" t="str">
        <f>HYPERLINK("http://141.218.60.56/~jnz1568/getInfo.php?workbook=11_01.xlsx&amp;sheet=A0&amp;row=52&amp;col=23&amp;number=733000&amp;sourceID=30","733000")</f>
        <v>733000</v>
      </c>
      <c r="X52" s="4" t="str">
        <f>HYPERLINK("http://141.218.60.56/~jnz1568/getInfo.php?workbook=11_01.xlsx&amp;sheet=A0&amp;row=52&amp;col=24&amp;number=0.0001791&amp;sourceID=30","0.0001791")</f>
        <v>0.0001791</v>
      </c>
      <c r="Y52" s="4" t="str">
        <f>HYPERLINK("http://141.218.60.56/~jnz1568/getInfo.php?workbook=11_01.xlsx&amp;sheet=A0&amp;row=52&amp;col=25&amp;number=&amp;sourceID=30","")</f>
        <v/>
      </c>
      <c r="Z52" s="4" t="str">
        <f>HYPERLINK("http://141.218.60.56/~jnz1568/getInfo.php?workbook=11_01.xlsx&amp;sheet=A0&amp;row=52&amp;col=26&amp;number==&amp;sourceID=13","=")</f>
        <v>=</v>
      </c>
      <c r="AA52" s="4" t="str">
        <f>HYPERLINK("http://141.218.60.56/~jnz1568/getInfo.php?workbook=11_01.xlsx&amp;sheet=A0&amp;row=52&amp;col=27&amp;number=&amp;sourceID=13","")</f>
        <v/>
      </c>
      <c r="AB52" s="4" t="str">
        <f>HYPERLINK("http://141.218.60.56/~jnz1568/getInfo.php?workbook=11_01.xlsx&amp;sheet=A0&amp;row=52&amp;col=28&amp;number=723000&amp;sourceID=13","723000")</f>
        <v>723000</v>
      </c>
      <c r="AC52" s="4" t="str">
        <f>HYPERLINK("http://141.218.60.56/~jnz1568/getInfo.php?workbook=11_01.xlsx&amp;sheet=A0&amp;row=52&amp;col=29&amp;number=&amp;sourceID=13","")</f>
        <v/>
      </c>
      <c r="AD52" s="4" t="str">
        <f>HYPERLINK("http://141.218.60.56/~jnz1568/getInfo.php?workbook=11_01.xlsx&amp;sheet=A0&amp;row=52&amp;col=30&amp;number=6.39e-05&amp;sourceID=13","6.39e-05")</f>
        <v>6.39e-05</v>
      </c>
      <c r="AE52" s="4" t="str">
        <f>HYPERLINK("http://141.218.60.56/~jnz1568/getInfo.php?workbook=11_01.xlsx&amp;sheet=A0&amp;row=52&amp;col=31&amp;number=&amp;sourceID=13","")</f>
        <v/>
      </c>
    </row>
    <row r="53" spans="1:31">
      <c r="A53" s="3">
        <v>11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HYPERLINK("http://141.218.60.56/~jnz1568/getInfo.php?workbook=11_01.xlsx&amp;sheet=A0&amp;row=53&amp;col=6&amp;number=&amp;sourceID=18","")</f>
        <v/>
      </c>
      <c r="G53" s="4" t="str">
        <f>HYPERLINK("http://141.218.60.56/~jnz1568/getInfo.php?workbook=11_01.xlsx&amp;sheet=A0&amp;row=53&amp;col=7&amp;number==&amp;sourceID=11","=")</f>
        <v>=</v>
      </c>
      <c r="H53" s="4" t="str">
        <f>HYPERLINK("http://141.218.60.56/~jnz1568/getInfo.php?workbook=11_01.xlsx&amp;sheet=A0&amp;row=53&amp;col=8&amp;number=18202000000&amp;sourceID=11","18202000000")</f>
        <v>18202000000</v>
      </c>
      <c r="I53" s="4" t="str">
        <f>HYPERLINK("http://141.218.60.56/~jnz1568/getInfo.php?workbook=11_01.xlsx&amp;sheet=A0&amp;row=53&amp;col=9&amp;number=&amp;sourceID=11","")</f>
        <v/>
      </c>
      <c r="J53" s="4" t="str">
        <f>HYPERLINK("http://141.218.60.56/~jnz1568/getInfo.php?workbook=11_01.xlsx&amp;sheet=A0&amp;row=53&amp;col=10&amp;number=&amp;sourceID=11","")</f>
        <v/>
      </c>
      <c r="K53" s="4" t="str">
        <f>HYPERLINK("http://141.218.60.56/~jnz1568/getInfo.php?workbook=11_01.xlsx&amp;sheet=A0&amp;row=53&amp;col=11&amp;number=&amp;sourceID=11","")</f>
        <v/>
      </c>
      <c r="L53" s="4" t="str">
        <f>HYPERLINK("http://141.218.60.56/~jnz1568/getInfo.php?workbook=11_01.xlsx&amp;sheet=A0&amp;row=53&amp;col=12&amp;number=83.677&amp;sourceID=11","83.677")</f>
        <v>83.677</v>
      </c>
      <c r="M53" s="4" t="str">
        <f>HYPERLINK("http://141.218.60.56/~jnz1568/getInfo.php?workbook=11_01.xlsx&amp;sheet=A0&amp;row=53&amp;col=13&amp;number=&amp;sourceID=11","")</f>
        <v/>
      </c>
      <c r="N53" s="4" t="str">
        <f>HYPERLINK("http://141.218.60.56/~jnz1568/getInfo.php?workbook=11_01.xlsx&amp;sheet=A0&amp;row=53&amp;col=14&amp;number=18203000000&amp;sourceID=12","18203000000")</f>
        <v>18203000000</v>
      </c>
      <c r="O53" s="4" t="str">
        <f>HYPERLINK("http://141.218.60.56/~jnz1568/getInfo.php?workbook=11_01.xlsx&amp;sheet=A0&amp;row=53&amp;col=15&amp;number=18203000000&amp;sourceID=12","18203000000")</f>
        <v>18203000000</v>
      </c>
      <c r="P53" s="4" t="str">
        <f>HYPERLINK("http://141.218.60.56/~jnz1568/getInfo.php?workbook=11_01.xlsx&amp;sheet=A0&amp;row=53&amp;col=16&amp;number=&amp;sourceID=12","")</f>
        <v/>
      </c>
      <c r="Q53" s="4" t="str">
        <f>HYPERLINK("http://141.218.60.56/~jnz1568/getInfo.php?workbook=11_01.xlsx&amp;sheet=A0&amp;row=53&amp;col=17&amp;number=&amp;sourceID=12","")</f>
        <v/>
      </c>
      <c r="R53" s="4" t="str">
        <f>HYPERLINK("http://141.218.60.56/~jnz1568/getInfo.php?workbook=11_01.xlsx&amp;sheet=A0&amp;row=53&amp;col=18&amp;number=&amp;sourceID=12","")</f>
        <v/>
      </c>
      <c r="S53" s="4" t="str">
        <f>HYPERLINK("http://141.218.60.56/~jnz1568/getInfo.php?workbook=11_01.xlsx&amp;sheet=A0&amp;row=53&amp;col=19&amp;number=83.679&amp;sourceID=12","83.679")</f>
        <v>83.679</v>
      </c>
      <c r="T53" s="4" t="str">
        <f>HYPERLINK("http://141.218.60.56/~jnz1568/getInfo.php?workbook=11_01.xlsx&amp;sheet=A0&amp;row=53&amp;col=20&amp;number=&amp;sourceID=12","")</f>
        <v/>
      </c>
      <c r="U53" s="4" t="str">
        <f>HYPERLINK("http://141.218.60.56/~jnz1568/getInfo.php?workbook=11_01.xlsx&amp;sheet=A0&amp;row=53&amp;col=21&amp;number=18200000083.7&amp;sourceID=30","18200000083.7")</f>
        <v>18200000083.7</v>
      </c>
      <c r="V53" s="4" t="str">
        <f>HYPERLINK("http://141.218.60.56/~jnz1568/getInfo.php?workbook=11_01.xlsx&amp;sheet=A0&amp;row=53&amp;col=22&amp;number=18200000000&amp;sourceID=30","18200000000")</f>
        <v>18200000000</v>
      </c>
      <c r="W53" s="4" t="str">
        <f>HYPERLINK("http://141.218.60.56/~jnz1568/getInfo.php?workbook=11_01.xlsx&amp;sheet=A0&amp;row=53&amp;col=23&amp;number=&amp;sourceID=30","")</f>
        <v/>
      </c>
      <c r="X53" s="4" t="str">
        <f>HYPERLINK("http://141.218.60.56/~jnz1568/getInfo.php?workbook=11_01.xlsx&amp;sheet=A0&amp;row=53&amp;col=24&amp;number=&amp;sourceID=30","")</f>
        <v/>
      </c>
      <c r="Y53" s="4" t="str">
        <f>HYPERLINK("http://141.218.60.56/~jnz1568/getInfo.php?workbook=11_01.xlsx&amp;sheet=A0&amp;row=53&amp;col=25&amp;number=83.68&amp;sourceID=30","83.68")</f>
        <v>83.68</v>
      </c>
      <c r="Z53" s="4" t="str">
        <f>HYPERLINK("http://141.218.60.56/~jnz1568/getInfo.php?workbook=11_01.xlsx&amp;sheet=A0&amp;row=53&amp;col=26&amp;number==&amp;sourceID=13","=")</f>
        <v>=</v>
      </c>
      <c r="AA53" s="4" t="str">
        <f>HYPERLINK("http://141.218.60.56/~jnz1568/getInfo.php?workbook=11_01.xlsx&amp;sheet=A0&amp;row=53&amp;col=27&amp;number=18000000000&amp;sourceID=13","18000000000")</f>
        <v>18000000000</v>
      </c>
      <c r="AB53" s="4" t="str">
        <f>HYPERLINK("http://141.218.60.56/~jnz1568/getInfo.php?workbook=11_01.xlsx&amp;sheet=A0&amp;row=53&amp;col=28&amp;number=&amp;sourceID=13","")</f>
        <v/>
      </c>
      <c r="AC53" s="4" t="str">
        <f>HYPERLINK("http://141.218.60.56/~jnz1568/getInfo.php?workbook=11_01.xlsx&amp;sheet=A0&amp;row=53&amp;col=29&amp;number=&amp;sourceID=13","")</f>
        <v/>
      </c>
      <c r="AD53" s="4" t="str">
        <f>HYPERLINK("http://141.218.60.56/~jnz1568/getInfo.php?workbook=11_01.xlsx&amp;sheet=A0&amp;row=53&amp;col=30&amp;number=&amp;sourceID=13","")</f>
        <v/>
      </c>
      <c r="AE53" s="4" t="str">
        <f>HYPERLINK("http://141.218.60.56/~jnz1568/getInfo.php?workbook=11_01.xlsx&amp;sheet=A0&amp;row=53&amp;col=31&amp;number=&amp;sourceID=13","")</f>
        <v/>
      </c>
    </row>
    <row r="54" spans="1:31">
      <c r="A54" s="3">
        <v>11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HYPERLINK("http://141.218.60.56/~jnz1568/getInfo.php?workbook=11_01.xlsx&amp;sheet=A0&amp;row=54&amp;col=6&amp;number=&amp;sourceID=18","")</f>
        <v/>
      </c>
      <c r="G54" s="4" t="str">
        <f>HYPERLINK("http://141.218.60.56/~jnz1568/getInfo.php?workbook=11_01.xlsx&amp;sheet=A0&amp;row=54&amp;col=7&amp;number==&amp;sourceID=11","=")</f>
        <v>=</v>
      </c>
      <c r="H54" s="4" t="str">
        <f>HYPERLINK("http://141.218.60.56/~jnz1568/getInfo.php?workbook=11_01.xlsx&amp;sheet=A0&amp;row=54&amp;col=8&amp;number=&amp;sourceID=11","")</f>
        <v/>
      </c>
      <c r="I54" s="4" t="str">
        <f>HYPERLINK("http://141.218.60.56/~jnz1568/getInfo.php?workbook=11_01.xlsx&amp;sheet=A0&amp;row=54&amp;col=9&amp;number=1100300&amp;sourceID=11","1100300")</f>
        <v>1100300</v>
      </c>
      <c r="J54" s="4" t="str">
        <f>HYPERLINK("http://141.218.60.56/~jnz1568/getInfo.php?workbook=11_01.xlsx&amp;sheet=A0&amp;row=54&amp;col=10&amp;number=&amp;sourceID=11","")</f>
        <v/>
      </c>
      <c r="K54" s="4" t="str">
        <f>HYPERLINK("http://141.218.60.56/~jnz1568/getInfo.php?workbook=11_01.xlsx&amp;sheet=A0&amp;row=54&amp;col=11&amp;number=&amp;sourceID=11","")</f>
        <v/>
      </c>
      <c r="L54" s="4" t="str">
        <f>HYPERLINK("http://141.218.60.56/~jnz1568/getInfo.php?workbook=11_01.xlsx&amp;sheet=A0&amp;row=54&amp;col=12&amp;number=&amp;sourceID=11","")</f>
        <v/>
      </c>
      <c r="M54" s="4" t="str">
        <f>HYPERLINK("http://141.218.60.56/~jnz1568/getInfo.php?workbook=11_01.xlsx&amp;sheet=A0&amp;row=54&amp;col=13&amp;number=0.0059827&amp;sourceID=11","0.0059827")</f>
        <v>0.0059827</v>
      </c>
      <c r="N54" s="4" t="str">
        <f>HYPERLINK("http://141.218.60.56/~jnz1568/getInfo.php?workbook=11_01.xlsx&amp;sheet=A0&amp;row=54&amp;col=14&amp;number=1100300&amp;sourceID=12","1100300")</f>
        <v>1100300</v>
      </c>
      <c r="O54" s="4" t="str">
        <f>HYPERLINK("http://141.218.60.56/~jnz1568/getInfo.php?workbook=11_01.xlsx&amp;sheet=A0&amp;row=54&amp;col=15&amp;number=&amp;sourceID=12","")</f>
        <v/>
      </c>
      <c r="P54" s="4" t="str">
        <f>HYPERLINK("http://141.218.60.56/~jnz1568/getInfo.php?workbook=11_01.xlsx&amp;sheet=A0&amp;row=54&amp;col=16&amp;number=1100300&amp;sourceID=12","1100300")</f>
        <v>1100300</v>
      </c>
      <c r="Q54" s="4" t="str">
        <f>HYPERLINK("http://141.218.60.56/~jnz1568/getInfo.php?workbook=11_01.xlsx&amp;sheet=A0&amp;row=54&amp;col=17&amp;number=&amp;sourceID=12","")</f>
        <v/>
      </c>
      <c r="R54" s="4" t="str">
        <f>HYPERLINK("http://141.218.60.56/~jnz1568/getInfo.php?workbook=11_01.xlsx&amp;sheet=A0&amp;row=54&amp;col=18&amp;number=&amp;sourceID=12","")</f>
        <v/>
      </c>
      <c r="S54" s="4" t="str">
        <f>HYPERLINK("http://141.218.60.56/~jnz1568/getInfo.php?workbook=11_01.xlsx&amp;sheet=A0&amp;row=54&amp;col=19&amp;number=&amp;sourceID=12","")</f>
        <v/>
      </c>
      <c r="T54" s="4" t="str">
        <f>HYPERLINK("http://141.218.60.56/~jnz1568/getInfo.php?workbook=11_01.xlsx&amp;sheet=A0&amp;row=54&amp;col=20&amp;number=0.0059828&amp;sourceID=12","0.0059828")</f>
        <v>0.0059828</v>
      </c>
      <c r="U54" s="4" t="str">
        <f>HYPERLINK("http://141.218.60.56/~jnz1568/getInfo.php?workbook=11_01.xlsx&amp;sheet=A0&amp;row=54&amp;col=21&amp;number=1100000&amp;sourceID=30","1100000")</f>
        <v>1100000</v>
      </c>
      <c r="V54" s="4" t="str">
        <f>HYPERLINK("http://141.218.60.56/~jnz1568/getInfo.php?workbook=11_01.xlsx&amp;sheet=A0&amp;row=54&amp;col=22&amp;number=&amp;sourceID=30","")</f>
        <v/>
      </c>
      <c r="W54" s="4" t="str">
        <f>HYPERLINK("http://141.218.60.56/~jnz1568/getInfo.php?workbook=11_01.xlsx&amp;sheet=A0&amp;row=54&amp;col=23&amp;number=1100000&amp;sourceID=30","1100000")</f>
        <v>1100000</v>
      </c>
      <c r="X54" s="4" t="str">
        <f>HYPERLINK("http://141.218.60.56/~jnz1568/getInfo.php?workbook=11_01.xlsx&amp;sheet=A0&amp;row=54&amp;col=24&amp;number=&amp;sourceID=30","")</f>
        <v/>
      </c>
      <c r="Y54" s="4" t="str">
        <f>HYPERLINK("http://141.218.60.56/~jnz1568/getInfo.php?workbook=11_01.xlsx&amp;sheet=A0&amp;row=54&amp;col=25&amp;number=&amp;sourceID=30","")</f>
        <v/>
      </c>
      <c r="Z54" s="4" t="str">
        <f>HYPERLINK("http://141.218.60.56/~jnz1568/getInfo.php?workbook=11_01.xlsx&amp;sheet=A0&amp;row=54&amp;col=26&amp;number==&amp;sourceID=13","=")</f>
        <v>=</v>
      </c>
      <c r="AA54" s="4" t="str">
        <f>HYPERLINK("http://141.218.60.56/~jnz1568/getInfo.php?workbook=11_01.xlsx&amp;sheet=A0&amp;row=54&amp;col=27&amp;number=&amp;sourceID=13","")</f>
        <v/>
      </c>
      <c r="AB54" s="4" t="str">
        <f>HYPERLINK("http://141.218.60.56/~jnz1568/getInfo.php?workbook=11_01.xlsx&amp;sheet=A0&amp;row=54&amp;col=28&amp;number=1090000&amp;sourceID=13","1090000")</f>
        <v>1090000</v>
      </c>
      <c r="AC54" s="4" t="str">
        <f>HYPERLINK("http://141.218.60.56/~jnz1568/getInfo.php?workbook=11_01.xlsx&amp;sheet=A0&amp;row=54&amp;col=29&amp;number=&amp;sourceID=13","")</f>
        <v/>
      </c>
      <c r="AD54" s="4" t="str">
        <f>HYPERLINK("http://141.218.60.56/~jnz1568/getInfo.php?workbook=11_01.xlsx&amp;sheet=A0&amp;row=54&amp;col=30&amp;number=&amp;sourceID=13","")</f>
        <v/>
      </c>
      <c r="AE54" s="4" t="str">
        <f>HYPERLINK("http://141.218.60.56/~jnz1568/getInfo.php?workbook=11_01.xlsx&amp;sheet=A0&amp;row=54&amp;col=31&amp;number=&amp;sourceID=13","")</f>
        <v/>
      </c>
    </row>
    <row r="55" spans="1:31">
      <c r="A55" s="3">
        <v>11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HYPERLINK("http://141.218.60.56/~jnz1568/getInfo.php?workbook=11_01.xlsx&amp;sheet=A0&amp;row=55&amp;col=6&amp;number=&amp;sourceID=18","")</f>
        <v/>
      </c>
      <c r="G55" s="4" t="str">
        <f>HYPERLINK("http://141.218.60.56/~jnz1568/getInfo.php?workbook=11_01.xlsx&amp;sheet=A0&amp;row=55&amp;col=7&amp;number==&amp;sourceID=11","=")</f>
        <v>=</v>
      </c>
      <c r="H55" s="4" t="str">
        <f>HYPERLINK("http://141.218.60.56/~jnz1568/getInfo.php?workbook=11_01.xlsx&amp;sheet=A0&amp;row=55&amp;col=8&amp;number=&amp;sourceID=11","")</f>
        <v/>
      </c>
      <c r="I55" s="4" t="str">
        <f>HYPERLINK("http://141.218.60.56/~jnz1568/getInfo.php?workbook=11_01.xlsx&amp;sheet=A0&amp;row=55&amp;col=9&amp;number=578090000&amp;sourceID=11","578090000")</f>
        <v>578090000</v>
      </c>
      <c r="J55" s="4" t="str">
        <f>HYPERLINK("http://141.218.60.56/~jnz1568/getInfo.php?workbook=11_01.xlsx&amp;sheet=A0&amp;row=55&amp;col=10&amp;number=&amp;sourceID=11","")</f>
        <v/>
      </c>
      <c r="K55" s="4" t="str">
        <f>HYPERLINK("http://141.218.60.56/~jnz1568/getInfo.php?workbook=11_01.xlsx&amp;sheet=A0&amp;row=55&amp;col=11&amp;number=112.31&amp;sourceID=11","112.31")</f>
        <v>112.31</v>
      </c>
      <c r="L55" s="4" t="str">
        <f>HYPERLINK("http://141.218.60.56/~jnz1568/getInfo.php?workbook=11_01.xlsx&amp;sheet=A0&amp;row=55&amp;col=12&amp;number=&amp;sourceID=11","")</f>
        <v/>
      </c>
      <c r="M55" s="4" t="str">
        <f>HYPERLINK("http://141.218.60.56/~jnz1568/getInfo.php?workbook=11_01.xlsx&amp;sheet=A0&amp;row=55&amp;col=13&amp;number=&amp;sourceID=11","")</f>
        <v/>
      </c>
      <c r="N55" s="4" t="str">
        <f>HYPERLINK("http://141.218.60.56/~jnz1568/getInfo.php?workbook=11_01.xlsx&amp;sheet=A0&amp;row=55&amp;col=14&amp;number=578110000&amp;sourceID=12","578110000")</f>
        <v>578110000</v>
      </c>
      <c r="O55" s="4" t="str">
        <f>HYPERLINK("http://141.218.60.56/~jnz1568/getInfo.php?workbook=11_01.xlsx&amp;sheet=A0&amp;row=55&amp;col=15&amp;number=&amp;sourceID=12","")</f>
        <v/>
      </c>
      <c r="P55" s="4" t="str">
        <f>HYPERLINK("http://141.218.60.56/~jnz1568/getInfo.php?workbook=11_01.xlsx&amp;sheet=A0&amp;row=55&amp;col=16&amp;number=578110000&amp;sourceID=12","578110000")</f>
        <v>578110000</v>
      </c>
      <c r="Q55" s="4" t="str">
        <f>HYPERLINK("http://141.218.60.56/~jnz1568/getInfo.php?workbook=11_01.xlsx&amp;sheet=A0&amp;row=55&amp;col=17&amp;number=&amp;sourceID=12","")</f>
        <v/>
      </c>
      <c r="R55" s="4" t="str">
        <f>HYPERLINK("http://141.218.60.56/~jnz1568/getInfo.php?workbook=11_01.xlsx&amp;sheet=A0&amp;row=55&amp;col=18&amp;number=112.33&amp;sourceID=12","112.33")</f>
        <v>112.33</v>
      </c>
      <c r="S55" s="4" t="str">
        <f>HYPERLINK("http://141.218.60.56/~jnz1568/getInfo.php?workbook=11_01.xlsx&amp;sheet=A0&amp;row=55&amp;col=19&amp;number=&amp;sourceID=12","")</f>
        <v/>
      </c>
      <c r="T55" s="4" t="str">
        <f>HYPERLINK("http://141.218.60.56/~jnz1568/getInfo.php?workbook=11_01.xlsx&amp;sheet=A0&amp;row=55&amp;col=20&amp;number=&amp;sourceID=12","")</f>
        <v/>
      </c>
      <c r="U55" s="4" t="str">
        <f>HYPERLINK("http://141.218.60.56/~jnz1568/getInfo.php?workbook=11_01.xlsx&amp;sheet=A0&amp;row=55&amp;col=21&amp;number=578100112.3&amp;sourceID=30","578100112.3")</f>
        <v>578100112.3</v>
      </c>
      <c r="V55" s="4" t="str">
        <f>HYPERLINK("http://141.218.60.56/~jnz1568/getInfo.php?workbook=11_01.xlsx&amp;sheet=A0&amp;row=55&amp;col=22&amp;number=&amp;sourceID=30","")</f>
        <v/>
      </c>
      <c r="W55" s="4" t="str">
        <f>HYPERLINK("http://141.218.60.56/~jnz1568/getInfo.php?workbook=11_01.xlsx&amp;sheet=A0&amp;row=55&amp;col=23&amp;number=578100000&amp;sourceID=30","578100000")</f>
        <v>578100000</v>
      </c>
      <c r="X55" s="4" t="str">
        <f>HYPERLINK("http://141.218.60.56/~jnz1568/getInfo.php?workbook=11_01.xlsx&amp;sheet=A0&amp;row=55&amp;col=24&amp;number=112.3&amp;sourceID=30","112.3")</f>
        <v>112.3</v>
      </c>
      <c r="Y55" s="4" t="str">
        <f>HYPERLINK("http://141.218.60.56/~jnz1568/getInfo.php?workbook=11_01.xlsx&amp;sheet=A0&amp;row=55&amp;col=25&amp;number=&amp;sourceID=30","")</f>
        <v/>
      </c>
      <c r="Z55" s="4" t="str">
        <f>HYPERLINK("http://141.218.60.56/~jnz1568/getInfo.php?workbook=11_01.xlsx&amp;sheet=A0&amp;row=55&amp;col=26&amp;number==&amp;sourceID=13","=")</f>
        <v>=</v>
      </c>
      <c r="AA55" s="4" t="str">
        <f>HYPERLINK("http://141.218.60.56/~jnz1568/getInfo.php?workbook=11_01.xlsx&amp;sheet=A0&amp;row=55&amp;col=27&amp;number=&amp;sourceID=13","")</f>
        <v/>
      </c>
      <c r="AB55" s="4" t="str">
        <f>HYPERLINK("http://141.218.60.56/~jnz1568/getInfo.php?workbook=11_01.xlsx&amp;sheet=A0&amp;row=55&amp;col=28&amp;number=664000000&amp;sourceID=13","664000000")</f>
        <v>664000000</v>
      </c>
      <c r="AC55" s="4" t="str">
        <f>HYPERLINK("http://141.218.60.56/~jnz1568/getInfo.php?workbook=11_01.xlsx&amp;sheet=A0&amp;row=55&amp;col=29&amp;number=&amp;sourceID=13","")</f>
        <v/>
      </c>
      <c r="AD55" s="4" t="str">
        <f>HYPERLINK("http://141.218.60.56/~jnz1568/getInfo.php?workbook=11_01.xlsx&amp;sheet=A0&amp;row=55&amp;col=30&amp;number=268&amp;sourceID=13","268")</f>
        <v>268</v>
      </c>
      <c r="AE55" s="4" t="str">
        <f>HYPERLINK("http://141.218.60.56/~jnz1568/getInfo.php?workbook=11_01.xlsx&amp;sheet=A0&amp;row=55&amp;col=31&amp;number=&amp;sourceID=13","")</f>
        <v/>
      </c>
    </row>
    <row r="56" spans="1:31">
      <c r="A56" s="3">
        <v>11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HYPERLINK("http://141.218.60.56/~jnz1568/getInfo.php?workbook=11_01.xlsx&amp;sheet=A0&amp;row=56&amp;col=6&amp;number=&amp;sourceID=18","")</f>
        <v/>
      </c>
      <c r="G56" s="4" t="str">
        <f>HYPERLINK("http://141.218.60.56/~jnz1568/getInfo.php?workbook=11_01.xlsx&amp;sheet=A0&amp;row=56&amp;col=7&amp;number==&amp;sourceID=11","=")</f>
        <v>=</v>
      </c>
      <c r="H56" s="4" t="str">
        <f>HYPERLINK("http://141.218.60.56/~jnz1568/getInfo.php?workbook=11_01.xlsx&amp;sheet=A0&amp;row=56&amp;col=8&amp;number=252870000000&amp;sourceID=11","252870000000")</f>
        <v>252870000000</v>
      </c>
      <c r="I56" s="4" t="str">
        <f>HYPERLINK("http://141.218.60.56/~jnz1568/getInfo.php?workbook=11_01.xlsx&amp;sheet=A0&amp;row=56&amp;col=9&amp;number=&amp;sourceID=11","")</f>
        <v/>
      </c>
      <c r="J56" s="4" t="str">
        <f>HYPERLINK("http://141.218.60.56/~jnz1568/getInfo.php?workbook=11_01.xlsx&amp;sheet=A0&amp;row=56&amp;col=10&amp;number=&amp;sourceID=11","")</f>
        <v/>
      </c>
      <c r="K56" s="4" t="str">
        <f>HYPERLINK("http://141.218.60.56/~jnz1568/getInfo.php?workbook=11_01.xlsx&amp;sheet=A0&amp;row=56&amp;col=11&amp;number=&amp;sourceID=11","")</f>
        <v/>
      </c>
      <c r="L56" s="4" t="str">
        <f>HYPERLINK("http://141.218.60.56/~jnz1568/getInfo.php?workbook=11_01.xlsx&amp;sheet=A0&amp;row=56&amp;col=12&amp;number=694.08&amp;sourceID=11","694.08")</f>
        <v>694.08</v>
      </c>
      <c r="M56" s="4" t="str">
        <f>HYPERLINK("http://141.218.60.56/~jnz1568/getInfo.php?workbook=11_01.xlsx&amp;sheet=A0&amp;row=56&amp;col=13&amp;number=&amp;sourceID=11","")</f>
        <v/>
      </c>
      <c r="N56" s="4" t="str">
        <f>HYPERLINK("http://141.218.60.56/~jnz1568/getInfo.php?workbook=11_01.xlsx&amp;sheet=A0&amp;row=56&amp;col=14&amp;number=252880000000&amp;sourceID=12","252880000000")</f>
        <v>252880000000</v>
      </c>
      <c r="O56" s="4" t="str">
        <f>HYPERLINK("http://141.218.60.56/~jnz1568/getInfo.php?workbook=11_01.xlsx&amp;sheet=A0&amp;row=56&amp;col=15&amp;number=252880000000&amp;sourceID=12","252880000000")</f>
        <v>252880000000</v>
      </c>
      <c r="P56" s="4" t="str">
        <f>HYPERLINK("http://141.218.60.56/~jnz1568/getInfo.php?workbook=11_01.xlsx&amp;sheet=A0&amp;row=56&amp;col=16&amp;number=&amp;sourceID=12","")</f>
        <v/>
      </c>
      <c r="Q56" s="4" t="str">
        <f>HYPERLINK("http://141.218.60.56/~jnz1568/getInfo.php?workbook=11_01.xlsx&amp;sheet=A0&amp;row=56&amp;col=17&amp;number=&amp;sourceID=12","")</f>
        <v/>
      </c>
      <c r="R56" s="4" t="str">
        <f>HYPERLINK("http://141.218.60.56/~jnz1568/getInfo.php?workbook=11_01.xlsx&amp;sheet=A0&amp;row=56&amp;col=18&amp;number=&amp;sourceID=12","")</f>
        <v/>
      </c>
      <c r="S56" s="4" t="str">
        <f>HYPERLINK("http://141.218.60.56/~jnz1568/getInfo.php?workbook=11_01.xlsx&amp;sheet=A0&amp;row=56&amp;col=19&amp;number=694.09&amp;sourceID=12","694.09")</f>
        <v>694.09</v>
      </c>
      <c r="T56" s="4" t="str">
        <f>HYPERLINK("http://141.218.60.56/~jnz1568/getInfo.php?workbook=11_01.xlsx&amp;sheet=A0&amp;row=56&amp;col=20&amp;number=&amp;sourceID=12","")</f>
        <v/>
      </c>
      <c r="U56" s="4" t="str">
        <f>HYPERLINK("http://141.218.60.56/~jnz1568/getInfo.php?workbook=11_01.xlsx&amp;sheet=A0&amp;row=56&amp;col=21&amp;number=2.52900000694e+11&amp;sourceID=30","2.52900000694e+11")</f>
        <v>2.52900000694e+11</v>
      </c>
      <c r="V56" s="4" t="str">
        <f>HYPERLINK("http://141.218.60.56/~jnz1568/getInfo.php?workbook=11_01.xlsx&amp;sheet=A0&amp;row=56&amp;col=22&amp;number=252900000000&amp;sourceID=30","252900000000")</f>
        <v>252900000000</v>
      </c>
      <c r="W56" s="4" t="str">
        <f>HYPERLINK("http://141.218.60.56/~jnz1568/getInfo.php?workbook=11_01.xlsx&amp;sheet=A0&amp;row=56&amp;col=23&amp;number=&amp;sourceID=30","")</f>
        <v/>
      </c>
      <c r="X56" s="4" t="str">
        <f>HYPERLINK("http://141.218.60.56/~jnz1568/getInfo.php?workbook=11_01.xlsx&amp;sheet=A0&amp;row=56&amp;col=24&amp;number=&amp;sourceID=30","")</f>
        <v/>
      </c>
      <c r="Y56" s="4" t="str">
        <f>HYPERLINK("http://141.218.60.56/~jnz1568/getInfo.php?workbook=11_01.xlsx&amp;sheet=A0&amp;row=56&amp;col=25&amp;number=694.1&amp;sourceID=30","694.1")</f>
        <v>694.1</v>
      </c>
      <c r="Z56" s="4" t="str">
        <f>HYPERLINK("http://141.218.60.56/~jnz1568/getInfo.php?workbook=11_01.xlsx&amp;sheet=A0&amp;row=56&amp;col=26&amp;number==&amp;sourceID=13","=")</f>
        <v>=</v>
      </c>
      <c r="AA56" s="4" t="str">
        <f>HYPERLINK("http://141.218.60.56/~jnz1568/getInfo.php?workbook=11_01.xlsx&amp;sheet=A0&amp;row=56&amp;col=27&amp;number=251000000000&amp;sourceID=13","251000000000")</f>
        <v>251000000000</v>
      </c>
      <c r="AB56" s="4" t="str">
        <f>HYPERLINK("http://141.218.60.56/~jnz1568/getInfo.php?workbook=11_01.xlsx&amp;sheet=A0&amp;row=56&amp;col=28&amp;number=&amp;sourceID=13","")</f>
        <v/>
      </c>
      <c r="AC56" s="4" t="str">
        <f>HYPERLINK("http://141.218.60.56/~jnz1568/getInfo.php?workbook=11_01.xlsx&amp;sheet=A0&amp;row=56&amp;col=29&amp;number=&amp;sourceID=13","")</f>
        <v/>
      </c>
      <c r="AD56" s="4" t="str">
        <f>HYPERLINK("http://141.218.60.56/~jnz1568/getInfo.php?workbook=11_01.xlsx&amp;sheet=A0&amp;row=56&amp;col=30&amp;number=&amp;sourceID=13","")</f>
        <v/>
      </c>
      <c r="AE56" s="4" t="str">
        <f>HYPERLINK("http://141.218.60.56/~jnz1568/getInfo.php?workbook=11_01.xlsx&amp;sheet=A0&amp;row=56&amp;col=31&amp;number=&amp;sourceID=13","")</f>
        <v/>
      </c>
    </row>
    <row r="57" spans="1:31">
      <c r="A57" s="3">
        <v>11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HYPERLINK("http://141.218.60.56/~jnz1568/getInfo.php?workbook=11_01.xlsx&amp;sheet=A0&amp;row=57&amp;col=6&amp;number=&amp;sourceID=18","")</f>
        <v/>
      </c>
      <c r="G57" s="4" t="str">
        <f>HYPERLINK("http://141.218.60.56/~jnz1568/getInfo.php?workbook=11_01.xlsx&amp;sheet=A0&amp;row=57&amp;col=7&amp;number==&amp;sourceID=11","=")</f>
        <v>=</v>
      </c>
      <c r="H57" s="4" t="str">
        <f>HYPERLINK("http://141.218.60.56/~jnz1568/getInfo.php?workbook=11_01.xlsx&amp;sheet=A0&amp;row=57&amp;col=8&amp;number=&amp;sourceID=11","")</f>
        <v/>
      </c>
      <c r="I57" s="4" t="str">
        <f>HYPERLINK("http://141.218.60.56/~jnz1568/getInfo.php?workbook=11_01.xlsx&amp;sheet=A0&amp;row=57&amp;col=9&amp;number=9273200&amp;sourceID=11","9273200")</f>
        <v>9273200</v>
      </c>
      <c r="J57" s="4" t="str">
        <f>HYPERLINK("http://141.218.60.56/~jnz1568/getInfo.php?workbook=11_01.xlsx&amp;sheet=A0&amp;row=57&amp;col=10&amp;number=&amp;sourceID=11","")</f>
        <v/>
      </c>
      <c r="K57" s="4" t="str">
        <f>HYPERLINK("http://141.218.60.56/~jnz1568/getInfo.php?workbook=11_01.xlsx&amp;sheet=A0&amp;row=57&amp;col=11&amp;number=1.5818&amp;sourceID=11","1.5818")</f>
        <v>1.5818</v>
      </c>
      <c r="L57" s="4" t="str">
        <f>HYPERLINK("http://141.218.60.56/~jnz1568/getInfo.php?workbook=11_01.xlsx&amp;sheet=A0&amp;row=57&amp;col=12&amp;number=&amp;sourceID=11","")</f>
        <v/>
      </c>
      <c r="M57" s="4" t="str">
        <f>HYPERLINK("http://141.218.60.56/~jnz1568/getInfo.php?workbook=11_01.xlsx&amp;sheet=A0&amp;row=57&amp;col=13&amp;number=&amp;sourceID=11","")</f>
        <v/>
      </c>
      <c r="N57" s="4" t="str">
        <f>HYPERLINK("http://141.218.60.56/~jnz1568/getInfo.php?workbook=11_01.xlsx&amp;sheet=A0&amp;row=57&amp;col=14&amp;number=9273400&amp;sourceID=12","9273400")</f>
        <v>9273400</v>
      </c>
      <c r="O57" s="4" t="str">
        <f>HYPERLINK("http://141.218.60.56/~jnz1568/getInfo.php?workbook=11_01.xlsx&amp;sheet=A0&amp;row=57&amp;col=15&amp;number=&amp;sourceID=12","")</f>
        <v/>
      </c>
      <c r="P57" s="4" t="str">
        <f>HYPERLINK("http://141.218.60.56/~jnz1568/getInfo.php?workbook=11_01.xlsx&amp;sheet=A0&amp;row=57&amp;col=16&amp;number=9273400&amp;sourceID=12","9273400")</f>
        <v>9273400</v>
      </c>
      <c r="Q57" s="4" t="str">
        <f>HYPERLINK("http://141.218.60.56/~jnz1568/getInfo.php?workbook=11_01.xlsx&amp;sheet=A0&amp;row=57&amp;col=17&amp;number=&amp;sourceID=12","")</f>
        <v/>
      </c>
      <c r="R57" s="4" t="str">
        <f>HYPERLINK("http://141.218.60.56/~jnz1568/getInfo.php?workbook=11_01.xlsx&amp;sheet=A0&amp;row=57&amp;col=18&amp;number=1.5819&amp;sourceID=12","1.5819")</f>
        <v>1.5819</v>
      </c>
      <c r="S57" s="4" t="str">
        <f>HYPERLINK("http://141.218.60.56/~jnz1568/getInfo.php?workbook=11_01.xlsx&amp;sheet=A0&amp;row=57&amp;col=19&amp;number=&amp;sourceID=12","")</f>
        <v/>
      </c>
      <c r="T57" s="4" t="str">
        <f>HYPERLINK("http://141.218.60.56/~jnz1568/getInfo.php?workbook=11_01.xlsx&amp;sheet=A0&amp;row=57&amp;col=20&amp;number=&amp;sourceID=12","")</f>
        <v/>
      </c>
      <c r="U57" s="4" t="str">
        <f>HYPERLINK("http://141.218.60.56/~jnz1568/getInfo.php?workbook=11_01.xlsx&amp;sheet=A0&amp;row=57&amp;col=21&amp;number=9273001.582&amp;sourceID=30","9273001.582")</f>
        <v>9273001.582</v>
      </c>
      <c r="V57" s="4" t="str">
        <f>HYPERLINK("http://141.218.60.56/~jnz1568/getInfo.php?workbook=11_01.xlsx&amp;sheet=A0&amp;row=57&amp;col=22&amp;number=&amp;sourceID=30","")</f>
        <v/>
      </c>
      <c r="W57" s="4" t="str">
        <f>HYPERLINK("http://141.218.60.56/~jnz1568/getInfo.php?workbook=11_01.xlsx&amp;sheet=A0&amp;row=57&amp;col=23&amp;number=9273000&amp;sourceID=30","9273000")</f>
        <v>9273000</v>
      </c>
      <c r="X57" s="4" t="str">
        <f>HYPERLINK("http://141.218.60.56/~jnz1568/getInfo.php?workbook=11_01.xlsx&amp;sheet=A0&amp;row=57&amp;col=24&amp;number=1.582&amp;sourceID=30","1.582")</f>
        <v>1.582</v>
      </c>
      <c r="Y57" s="4" t="str">
        <f>HYPERLINK("http://141.218.60.56/~jnz1568/getInfo.php?workbook=11_01.xlsx&amp;sheet=A0&amp;row=57&amp;col=25&amp;number=&amp;sourceID=30","")</f>
        <v/>
      </c>
      <c r="Z57" s="4" t="str">
        <f>HYPERLINK("http://141.218.60.56/~jnz1568/getInfo.php?workbook=11_01.xlsx&amp;sheet=A0&amp;row=57&amp;col=26&amp;number==&amp;sourceID=13","=")</f>
        <v>=</v>
      </c>
      <c r="AA57" s="4" t="str">
        <f>HYPERLINK("http://141.218.60.56/~jnz1568/getInfo.php?workbook=11_01.xlsx&amp;sheet=A0&amp;row=57&amp;col=27&amp;number=&amp;sourceID=13","")</f>
        <v/>
      </c>
      <c r="AB57" s="4" t="str">
        <f>HYPERLINK("http://141.218.60.56/~jnz1568/getInfo.php?workbook=11_01.xlsx&amp;sheet=A0&amp;row=57&amp;col=28&amp;number=8820000&amp;sourceID=13","8820000")</f>
        <v>8820000</v>
      </c>
      <c r="AC57" s="4" t="str">
        <f>HYPERLINK("http://141.218.60.56/~jnz1568/getInfo.php?workbook=11_01.xlsx&amp;sheet=A0&amp;row=57&amp;col=29&amp;number=&amp;sourceID=13","")</f>
        <v/>
      </c>
      <c r="AD57" s="4" t="str">
        <f>HYPERLINK("http://141.218.60.56/~jnz1568/getInfo.php?workbook=11_01.xlsx&amp;sheet=A0&amp;row=57&amp;col=30&amp;number=3.47&amp;sourceID=13","3.47")</f>
        <v>3.47</v>
      </c>
      <c r="AE57" s="4" t="str">
        <f>HYPERLINK("http://141.218.60.56/~jnz1568/getInfo.php?workbook=11_01.xlsx&amp;sheet=A0&amp;row=57&amp;col=31&amp;number=&amp;sourceID=13","")</f>
        <v/>
      </c>
    </row>
    <row r="58" spans="1:31">
      <c r="A58" s="3">
        <v>11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HYPERLINK("http://141.218.60.56/~jnz1568/getInfo.php?workbook=11_01.xlsx&amp;sheet=A0&amp;row=58&amp;col=6&amp;number=&amp;sourceID=18","")</f>
        <v/>
      </c>
      <c r="G58" s="4" t="str">
        <f>HYPERLINK("http://141.218.60.56/~jnz1568/getInfo.php?workbook=11_01.xlsx&amp;sheet=A0&amp;row=58&amp;col=7&amp;number==&amp;sourceID=11","=")</f>
        <v>=</v>
      </c>
      <c r="H58" s="4" t="str">
        <f>HYPERLINK("http://141.218.60.56/~jnz1568/getInfo.php?workbook=11_01.xlsx&amp;sheet=A0&amp;row=58&amp;col=8&amp;number=50291000000&amp;sourceID=11","50291000000")</f>
        <v>50291000000</v>
      </c>
      <c r="I58" s="4" t="str">
        <f>HYPERLINK("http://141.218.60.56/~jnz1568/getInfo.php?workbook=11_01.xlsx&amp;sheet=A0&amp;row=58&amp;col=9&amp;number=&amp;sourceID=11","")</f>
        <v/>
      </c>
      <c r="J58" s="4" t="str">
        <f>HYPERLINK("http://141.218.60.56/~jnz1568/getInfo.php?workbook=11_01.xlsx&amp;sheet=A0&amp;row=58&amp;col=10&amp;number=0.0096236&amp;sourceID=11","0.0096236")</f>
        <v>0.0096236</v>
      </c>
      <c r="K58" s="4" t="str">
        <f>HYPERLINK("http://141.218.60.56/~jnz1568/getInfo.php?workbook=11_01.xlsx&amp;sheet=A0&amp;row=58&amp;col=11&amp;number=&amp;sourceID=11","")</f>
        <v/>
      </c>
      <c r="L58" s="4" t="str">
        <f>HYPERLINK("http://141.218.60.56/~jnz1568/getInfo.php?workbook=11_01.xlsx&amp;sheet=A0&amp;row=58&amp;col=12&amp;number=&amp;sourceID=11","")</f>
        <v/>
      </c>
      <c r="M58" s="4" t="str">
        <f>HYPERLINK("http://141.218.60.56/~jnz1568/getInfo.php?workbook=11_01.xlsx&amp;sheet=A0&amp;row=58&amp;col=13&amp;number=&amp;sourceID=11","")</f>
        <v/>
      </c>
      <c r="N58" s="4" t="str">
        <f>HYPERLINK("http://141.218.60.56/~jnz1568/getInfo.php?workbook=11_01.xlsx&amp;sheet=A0&amp;row=58&amp;col=14&amp;number=50292000000&amp;sourceID=12","50292000000")</f>
        <v>50292000000</v>
      </c>
      <c r="O58" s="4" t="str">
        <f>HYPERLINK("http://141.218.60.56/~jnz1568/getInfo.php?workbook=11_01.xlsx&amp;sheet=A0&amp;row=58&amp;col=15&amp;number=50292000000&amp;sourceID=12","50292000000")</f>
        <v>50292000000</v>
      </c>
      <c r="P58" s="4" t="str">
        <f>HYPERLINK("http://141.218.60.56/~jnz1568/getInfo.php?workbook=11_01.xlsx&amp;sheet=A0&amp;row=58&amp;col=16&amp;number=&amp;sourceID=12","")</f>
        <v/>
      </c>
      <c r="Q58" s="4" t="str">
        <f>HYPERLINK("http://141.218.60.56/~jnz1568/getInfo.php?workbook=11_01.xlsx&amp;sheet=A0&amp;row=58&amp;col=17&amp;number=0.0096236&amp;sourceID=12","0.0096236")</f>
        <v>0.0096236</v>
      </c>
      <c r="R58" s="4" t="str">
        <f>HYPERLINK("http://141.218.60.56/~jnz1568/getInfo.php?workbook=11_01.xlsx&amp;sheet=A0&amp;row=58&amp;col=18&amp;number=&amp;sourceID=12","")</f>
        <v/>
      </c>
      <c r="S58" s="4" t="str">
        <f>HYPERLINK("http://141.218.60.56/~jnz1568/getInfo.php?workbook=11_01.xlsx&amp;sheet=A0&amp;row=58&amp;col=19&amp;number=&amp;sourceID=12","")</f>
        <v/>
      </c>
      <c r="T58" s="4" t="str">
        <f>HYPERLINK("http://141.218.60.56/~jnz1568/getInfo.php?workbook=11_01.xlsx&amp;sheet=A0&amp;row=58&amp;col=20&amp;number=&amp;sourceID=12","")</f>
        <v/>
      </c>
      <c r="U58" s="4" t="str">
        <f>HYPERLINK("http://141.218.60.56/~jnz1568/getInfo.php?workbook=11_01.xlsx&amp;sheet=A0&amp;row=58&amp;col=21&amp;number=50290000000&amp;sourceID=30","50290000000")</f>
        <v>50290000000</v>
      </c>
      <c r="V58" s="4" t="str">
        <f>HYPERLINK("http://141.218.60.56/~jnz1568/getInfo.php?workbook=11_01.xlsx&amp;sheet=A0&amp;row=58&amp;col=22&amp;number=50290000000&amp;sourceID=30","50290000000")</f>
        <v>50290000000</v>
      </c>
      <c r="W58" s="4" t="str">
        <f>HYPERLINK("http://141.218.60.56/~jnz1568/getInfo.php?workbook=11_01.xlsx&amp;sheet=A0&amp;row=58&amp;col=23&amp;number=&amp;sourceID=30","")</f>
        <v/>
      </c>
      <c r="X58" s="4" t="str">
        <f>HYPERLINK("http://141.218.60.56/~jnz1568/getInfo.php?workbook=11_01.xlsx&amp;sheet=A0&amp;row=58&amp;col=24&amp;number=&amp;sourceID=30","")</f>
        <v/>
      </c>
      <c r="Y58" s="4" t="str">
        <f>HYPERLINK("http://141.218.60.56/~jnz1568/getInfo.php?workbook=11_01.xlsx&amp;sheet=A0&amp;row=58&amp;col=25&amp;number=&amp;sourceID=30","")</f>
        <v/>
      </c>
      <c r="Z58" s="4" t="str">
        <f>HYPERLINK("http://141.218.60.56/~jnz1568/getInfo.php?workbook=11_01.xlsx&amp;sheet=A0&amp;row=58&amp;col=26&amp;number==&amp;sourceID=13","=")</f>
        <v>=</v>
      </c>
      <c r="AA58" s="4" t="str">
        <f>HYPERLINK("http://141.218.60.56/~jnz1568/getInfo.php?workbook=11_01.xlsx&amp;sheet=A0&amp;row=58&amp;col=27&amp;number=50100000000&amp;sourceID=13","50100000000")</f>
        <v>50100000000</v>
      </c>
      <c r="AB58" s="4" t="str">
        <f>HYPERLINK("http://141.218.60.56/~jnz1568/getInfo.php?workbook=11_01.xlsx&amp;sheet=A0&amp;row=58&amp;col=28&amp;number=&amp;sourceID=13","")</f>
        <v/>
      </c>
      <c r="AC58" s="4" t="str">
        <f>HYPERLINK("http://141.218.60.56/~jnz1568/getInfo.php?workbook=11_01.xlsx&amp;sheet=A0&amp;row=58&amp;col=29&amp;number=&amp;sourceID=13","")</f>
        <v/>
      </c>
      <c r="AD58" s="4" t="str">
        <f>HYPERLINK("http://141.218.60.56/~jnz1568/getInfo.php?workbook=11_01.xlsx&amp;sheet=A0&amp;row=58&amp;col=30&amp;number=&amp;sourceID=13","")</f>
        <v/>
      </c>
      <c r="AE58" s="4" t="str">
        <f>HYPERLINK("http://141.218.60.56/~jnz1568/getInfo.php?workbook=11_01.xlsx&amp;sheet=A0&amp;row=58&amp;col=31&amp;number=&amp;sourceID=13","")</f>
        <v/>
      </c>
    </row>
    <row r="59" spans="1:31">
      <c r="A59" s="3">
        <v>11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HYPERLINK("http://141.218.60.56/~jnz1568/getInfo.php?workbook=11_01.xlsx&amp;sheet=A0&amp;row=59&amp;col=6&amp;number=&amp;sourceID=18","")</f>
        <v/>
      </c>
      <c r="G59" s="4" t="str">
        <f>HYPERLINK("http://141.218.60.56/~jnz1568/getInfo.php?workbook=11_01.xlsx&amp;sheet=A0&amp;row=59&amp;col=7&amp;number==&amp;sourceID=11","=")</f>
        <v>=</v>
      </c>
      <c r="H59" s="4" t="str">
        <f>HYPERLINK("http://141.218.60.56/~jnz1568/getInfo.php?workbook=11_01.xlsx&amp;sheet=A0&amp;row=59&amp;col=8&amp;number=85914000000&amp;sourceID=11","85914000000")</f>
        <v>85914000000</v>
      </c>
      <c r="I59" s="4" t="str">
        <f>HYPERLINK("http://141.218.60.56/~jnz1568/getInfo.php?workbook=11_01.xlsx&amp;sheet=A0&amp;row=59&amp;col=9&amp;number=&amp;sourceID=11","")</f>
        <v/>
      </c>
      <c r="J59" s="4" t="str">
        <f>HYPERLINK("http://141.218.60.56/~jnz1568/getInfo.php?workbook=11_01.xlsx&amp;sheet=A0&amp;row=59&amp;col=10&amp;number=&amp;sourceID=11","")</f>
        <v/>
      </c>
      <c r="K59" s="4" t="str">
        <f>HYPERLINK("http://141.218.60.56/~jnz1568/getInfo.php?workbook=11_01.xlsx&amp;sheet=A0&amp;row=59&amp;col=11&amp;number=&amp;sourceID=11","")</f>
        <v/>
      </c>
      <c r="L59" s="4" t="str">
        <f>HYPERLINK("http://141.218.60.56/~jnz1568/getInfo.php?workbook=11_01.xlsx&amp;sheet=A0&amp;row=59&amp;col=12&amp;number=15.893&amp;sourceID=11","15.893")</f>
        <v>15.893</v>
      </c>
      <c r="M59" s="4" t="str">
        <f>HYPERLINK("http://141.218.60.56/~jnz1568/getInfo.php?workbook=11_01.xlsx&amp;sheet=A0&amp;row=59&amp;col=13&amp;number=&amp;sourceID=11","")</f>
        <v/>
      </c>
      <c r="N59" s="4" t="str">
        <f>HYPERLINK("http://141.218.60.56/~jnz1568/getInfo.php?workbook=11_01.xlsx&amp;sheet=A0&amp;row=59&amp;col=14&amp;number=85916000000&amp;sourceID=12","85916000000")</f>
        <v>85916000000</v>
      </c>
      <c r="O59" s="4" t="str">
        <f>HYPERLINK("http://141.218.60.56/~jnz1568/getInfo.php?workbook=11_01.xlsx&amp;sheet=A0&amp;row=59&amp;col=15&amp;number=85916000000&amp;sourceID=12","85916000000")</f>
        <v>85916000000</v>
      </c>
      <c r="P59" s="4" t="str">
        <f>HYPERLINK("http://141.218.60.56/~jnz1568/getInfo.php?workbook=11_01.xlsx&amp;sheet=A0&amp;row=59&amp;col=16&amp;number=&amp;sourceID=12","")</f>
        <v/>
      </c>
      <c r="Q59" s="4" t="str">
        <f>HYPERLINK("http://141.218.60.56/~jnz1568/getInfo.php?workbook=11_01.xlsx&amp;sheet=A0&amp;row=59&amp;col=17&amp;number=&amp;sourceID=12","")</f>
        <v/>
      </c>
      <c r="R59" s="4" t="str">
        <f>HYPERLINK("http://141.218.60.56/~jnz1568/getInfo.php?workbook=11_01.xlsx&amp;sheet=A0&amp;row=59&amp;col=18&amp;number=&amp;sourceID=12","")</f>
        <v/>
      </c>
      <c r="S59" s="4" t="str">
        <f>HYPERLINK("http://141.218.60.56/~jnz1568/getInfo.php?workbook=11_01.xlsx&amp;sheet=A0&amp;row=59&amp;col=19&amp;number=15.893&amp;sourceID=12","15.893")</f>
        <v>15.893</v>
      </c>
      <c r="T59" s="4" t="str">
        <f>HYPERLINK("http://141.218.60.56/~jnz1568/getInfo.php?workbook=11_01.xlsx&amp;sheet=A0&amp;row=59&amp;col=20&amp;number=&amp;sourceID=12","")</f>
        <v/>
      </c>
      <c r="U59" s="4" t="str">
        <f>HYPERLINK("http://141.218.60.56/~jnz1568/getInfo.php?workbook=11_01.xlsx&amp;sheet=A0&amp;row=59&amp;col=21&amp;number=85920000015.9&amp;sourceID=30","85920000015.9")</f>
        <v>85920000015.9</v>
      </c>
      <c r="V59" s="4" t="str">
        <f>HYPERLINK("http://141.218.60.56/~jnz1568/getInfo.php?workbook=11_01.xlsx&amp;sheet=A0&amp;row=59&amp;col=22&amp;number=85920000000&amp;sourceID=30","85920000000")</f>
        <v>85920000000</v>
      </c>
      <c r="W59" s="4" t="str">
        <f>HYPERLINK("http://141.218.60.56/~jnz1568/getInfo.php?workbook=11_01.xlsx&amp;sheet=A0&amp;row=59&amp;col=23&amp;number=&amp;sourceID=30","")</f>
        <v/>
      </c>
      <c r="X59" s="4" t="str">
        <f>HYPERLINK("http://141.218.60.56/~jnz1568/getInfo.php?workbook=11_01.xlsx&amp;sheet=A0&amp;row=59&amp;col=24&amp;number=&amp;sourceID=30","")</f>
        <v/>
      </c>
      <c r="Y59" s="4" t="str">
        <f>HYPERLINK("http://141.218.60.56/~jnz1568/getInfo.php?workbook=11_01.xlsx&amp;sheet=A0&amp;row=59&amp;col=25&amp;number=15.89&amp;sourceID=30","15.89")</f>
        <v>15.89</v>
      </c>
      <c r="Z59" s="4" t="str">
        <f>HYPERLINK("http://141.218.60.56/~jnz1568/getInfo.php?workbook=11_01.xlsx&amp;sheet=A0&amp;row=59&amp;col=26&amp;number==&amp;sourceID=13","=")</f>
        <v>=</v>
      </c>
      <c r="AA59" s="4" t="str">
        <f>HYPERLINK("http://141.218.60.56/~jnz1568/getInfo.php?workbook=11_01.xlsx&amp;sheet=A0&amp;row=59&amp;col=27&amp;number=85600000000&amp;sourceID=13","85600000000")</f>
        <v>85600000000</v>
      </c>
      <c r="AB59" s="4" t="str">
        <f>HYPERLINK("http://141.218.60.56/~jnz1568/getInfo.php?workbook=11_01.xlsx&amp;sheet=A0&amp;row=59&amp;col=28&amp;number=&amp;sourceID=13","")</f>
        <v/>
      </c>
      <c r="AC59" s="4" t="str">
        <f>HYPERLINK("http://141.218.60.56/~jnz1568/getInfo.php?workbook=11_01.xlsx&amp;sheet=A0&amp;row=59&amp;col=29&amp;number=&amp;sourceID=13","")</f>
        <v/>
      </c>
      <c r="AD59" s="4" t="str">
        <f>HYPERLINK("http://141.218.60.56/~jnz1568/getInfo.php?workbook=11_01.xlsx&amp;sheet=A0&amp;row=59&amp;col=30&amp;number=&amp;sourceID=13","")</f>
        <v/>
      </c>
      <c r="AE59" s="4" t="str">
        <f>HYPERLINK("http://141.218.60.56/~jnz1568/getInfo.php?workbook=11_01.xlsx&amp;sheet=A0&amp;row=59&amp;col=31&amp;number=&amp;sourceID=13","")</f>
        <v/>
      </c>
    </row>
    <row r="60" spans="1:31">
      <c r="A60" s="3">
        <v>11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HYPERLINK("http://141.218.60.56/~jnz1568/getInfo.php?workbook=11_01.xlsx&amp;sheet=A0&amp;row=60&amp;col=6&amp;number=&amp;sourceID=18","")</f>
        <v/>
      </c>
      <c r="G60" s="4" t="str">
        <f>HYPERLINK("http://141.218.60.56/~jnz1568/getInfo.php?workbook=11_01.xlsx&amp;sheet=A0&amp;row=60&amp;col=7&amp;number==&amp;sourceID=11","=")</f>
        <v>=</v>
      </c>
      <c r="H60" s="4" t="str">
        <f>HYPERLINK("http://141.218.60.56/~jnz1568/getInfo.php?workbook=11_01.xlsx&amp;sheet=A0&amp;row=60&amp;col=8&amp;number=&amp;sourceID=11","")</f>
        <v/>
      </c>
      <c r="I60" s="4" t="str">
        <f>HYPERLINK("http://141.218.60.56/~jnz1568/getInfo.php?workbook=11_01.xlsx&amp;sheet=A0&amp;row=60&amp;col=9&amp;number=6706300&amp;sourceID=11","6706300")</f>
        <v>6706300</v>
      </c>
      <c r="J60" s="4" t="str">
        <f>HYPERLINK("http://141.218.60.56/~jnz1568/getInfo.php?workbook=11_01.xlsx&amp;sheet=A0&amp;row=60&amp;col=10&amp;number=&amp;sourceID=11","")</f>
        <v/>
      </c>
      <c r="K60" s="4" t="str">
        <f>HYPERLINK("http://141.218.60.56/~jnz1568/getInfo.php?workbook=11_01.xlsx&amp;sheet=A0&amp;row=60&amp;col=11&amp;number=0.014092&amp;sourceID=11","0.014092")</f>
        <v>0.014092</v>
      </c>
      <c r="L60" s="4" t="str">
        <f>HYPERLINK("http://141.218.60.56/~jnz1568/getInfo.php?workbook=11_01.xlsx&amp;sheet=A0&amp;row=60&amp;col=12&amp;number=&amp;sourceID=11","")</f>
        <v/>
      </c>
      <c r="M60" s="4" t="str">
        <f>HYPERLINK("http://141.218.60.56/~jnz1568/getInfo.php?workbook=11_01.xlsx&amp;sheet=A0&amp;row=60&amp;col=13&amp;number=&amp;sourceID=11","")</f>
        <v/>
      </c>
      <c r="N60" s="4" t="str">
        <f>HYPERLINK("http://141.218.60.56/~jnz1568/getInfo.php?workbook=11_01.xlsx&amp;sheet=A0&amp;row=60&amp;col=14&amp;number=6706500&amp;sourceID=12","6706500")</f>
        <v>6706500</v>
      </c>
      <c r="O60" s="4" t="str">
        <f>HYPERLINK("http://141.218.60.56/~jnz1568/getInfo.php?workbook=11_01.xlsx&amp;sheet=A0&amp;row=60&amp;col=15&amp;number=&amp;sourceID=12","")</f>
        <v/>
      </c>
      <c r="P60" s="4" t="str">
        <f>HYPERLINK("http://141.218.60.56/~jnz1568/getInfo.php?workbook=11_01.xlsx&amp;sheet=A0&amp;row=60&amp;col=16&amp;number=6706500&amp;sourceID=12","6706500")</f>
        <v>6706500</v>
      </c>
      <c r="Q60" s="4" t="str">
        <f>HYPERLINK("http://141.218.60.56/~jnz1568/getInfo.php?workbook=11_01.xlsx&amp;sheet=A0&amp;row=60&amp;col=17&amp;number=&amp;sourceID=12","")</f>
        <v/>
      </c>
      <c r="R60" s="4" t="str">
        <f>HYPERLINK("http://141.218.60.56/~jnz1568/getInfo.php?workbook=11_01.xlsx&amp;sheet=A0&amp;row=60&amp;col=18&amp;number=0.014092&amp;sourceID=12","0.014092")</f>
        <v>0.014092</v>
      </c>
      <c r="S60" s="4" t="str">
        <f>HYPERLINK("http://141.218.60.56/~jnz1568/getInfo.php?workbook=11_01.xlsx&amp;sheet=A0&amp;row=60&amp;col=19&amp;number=&amp;sourceID=12","")</f>
        <v/>
      </c>
      <c r="T60" s="4" t="str">
        <f>HYPERLINK("http://141.218.60.56/~jnz1568/getInfo.php?workbook=11_01.xlsx&amp;sheet=A0&amp;row=60&amp;col=20&amp;number=&amp;sourceID=12","")</f>
        <v/>
      </c>
      <c r="U60" s="4" t="str">
        <f>HYPERLINK("http://141.218.60.56/~jnz1568/getInfo.php?workbook=11_01.xlsx&amp;sheet=A0&amp;row=60&amp;col=21&amp;number=6706000.01409&amp;sourceID=30","6706000.01409")</f>
        <v>6706000.01409</v>
      </c>
      <c r="V60" s="4" t="str">
        <f>HYPERLINK("http://141.218.60.56/~jnz1568/getInfo.php?workbook=11_01.xlsx&amp;sheet=A0&amp;row=60&amp;col=22&amp;number=&amp;sourceID=30","")</f>
        <v/>
      </c>
      <c r="W60" s="4" t="str">
        <f>HYPERLINK("http://141.218.60.56/~jnz1568/getInfo.php?workbook=11_01.xlsx&amp;sheet=A0&amp;row=60&amp;col=23&amp;number=6706000&amp;sourceID=30","6706000")</f>
        <v>6706000</v>
      </c>
      <c r="X60" s="4" t="str">
        <f>HYPERLINK("http://141.218.60.56/~jnz1568/getInfo.php?workbook=11_01.xlsx&amp;sheet=A0&amp;row=60&amp;col=24&amp;number=0.01409&amp;sourceID=30","0.01409")</f>
        <v>0.01409</v>
      </c>
      <c r="Y60" s="4" t="str">
        <f>HYPERLINK("http://141.218.60.56/~jnz1568/getInfo.php?workbook=11_01.xlsx&amp;sheet=A0&amp;row=60&amp;col=25&amp;number=&amp;sourceID=30","")</f>
        <v/>
      </c>
      <c r="Z60" s="4" t="str">
        <f>HYPERLINK("http://141.218.60.56/~jnz1568/getInfo.php?workbook=11_01.xlsx&amp;sheet=A0&amp;row=60&amp;col=26&amp;number==&amp;sourceID=13","=")</f>
        <v>=</v>
      </c>
      <c r="AA60" s="4" t="str">
        <f>HYPERLINK("http://141.218.60.56/~jnz1568/getInfo.php?workbook=11_01.xlsx&amp;sheet=A0&amp;row=60&amp;col=27&amp;number=&amp;sourceID=13","")</f>
        <v/>
      </c>
      <c r="AB60" s="4" t="str">
        <f>HYPERLINK("http://141.218.60.56/~jnz1568/getInfo.php?workbook=11_01.xlsx&amp;sheet=A0&amp;row=60&amp;col=28&amp;number=6680000&amp;sourceID=13","6680000")</f>
        <v>6680000</v>
      </c>
      <c r="AC60" s="4" t="str">
        <f>HYPERLINK("http://141.218.60.56/~jnz1568/getInfo.php?workbook=11_01.xlsx&amp;sheet=A0&amp;row=60&amp;col=29&amp;number=&amp;sourceID=13","")</f>
        <v/>
      </c>
      <c r="AD60" s="4" t="str">
        <f>HYPERLINK("http://141.218.60.56/~jnz1568/getInfo.php?workbook=11_01.xlsx&amp;sheet=A0&amp;row=60&amp;col=30&amp;number=0.0223&amp;sourceID=13","0.0223")</f>
        <v>0.0223</v>
      </c>
      <c r="AE60" s="4" t="str">
        <f>HYPERLINK("http://141.218.60.56/~jnz1568/getInfo.php?workbook=11_01.xlsx&amp;sheet=A0&amp;row=60&amp;col=31&amp;number=&amp;sourceID=13","")</f>
        <v/>
      </c>
    </row>
    <row r="61" spans="1:31">
      <c r="A61" s="3">
        <v>11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HYPERLINK("http://141.218.60.56/~jnz1568/getInfo.php?workbook=11_01.xlsx&amp;sheet=A0&amp;row=61&amp;col=6&amp;number=&amp;sourceID=18","")</f>
        <v/>
      </c>
      <c r="G61" s="4" t="str">
        <f>HYPERLINK("http://141.218.60.56/~jnz1568/getInfo.php?workbook=11_01.xlsx&amp;sheet=A0&amp;row=61&amp;col=7&amp;number==&amp;sourceID=11","=")</f>
        <v>=</v>
      </c>
      <c r="H61" s="4" t="str">
        <f>HYPERLINK("http://141.218.60.56/~jnz1568/getInfo.php?workbook=11_01.xlsx&amp;sheet=A0&amp;row=61&amp;col=8&amp;number=&amp;sourceID=11","")</f>
        <v/>
      </c>
      <c r="I61" s="4" t="str">
        <f>HYPERLINK("http://141.218.60.56/~jnz1568/getInfo.php?workbook=11_01.xlsx&amp;sheet=A0&amp;row=61&amp;col=9&amp;number=1477100&amp;sourceID=11","1477100")</f>
        <v>1477100</v>
      </c>
      <c r="J61" s="4" t="str">
        <f>HYPERLINK("http://141.218.60.56/~jnz1568/getInfo.php?workbook=11_01.xlsx&amp;sheet=A0&amp;row=61&amp;col=10&amp;number=&amp;sourceID=11","")</f>
        <v/>
      </c>
      <c r="K61" s="4" t="str">
        <f>HYPERLINK("http://141.218.60.56/~jnz1568/getInfo.php?workbook=11_01.xlsx&amp;sheet=A0&amp;row=61&amp;col=11&amp;number=0.47428&amp;sourceID=11","0.47428")</f>
        <v>0.47428</v>
      </c>
      <c r="L61" s="4" t="str">
        <f>HYPERLINK("http://141.218.60.56/~jnz1568/getInfo.php?workbook=11_01.xlsx&amp;sheet=A0&amp;row=61&amp;col=12&amp;number=&amp;sourceID=11","")</f>
        <v/>
      </c>
      <c r="M61" s="4" t="str">
        <f>HYPERLINK("http://141.218.60.56/~jnz1568/getInfo.php?workbook=11_01.xlsx&amp;sheet=A0&amp;row=61&amp;col=13&amp;number=0.000296&amp;sourceID=11","0.000296")</f>
        <v>0.000296</v>
      </c>
      <c r="N61" s="4" t="str">
        <f>HYPERLINK("http://141.218.60.56/~jnz1568/getInfo.php?workbook=11_01.xlsx&amp;sheet=A0&amp;row=61&amp;col=14&amp;number=1477100&amp;sourceID=12","1477100")</f>
        <v>1477100</v>
      </c>
      <c r="O61" s="4" t="str">
        <f>HYPERLINK("http://141.218.60.56/~jnz1568/getInfo.php?workbook=11_01.xlsx&amp;sheet=A0&amp;row=61&amp;col=15&amp;number=&amp;sourceID=12","")</f>
        <v/>
      </c>
      <c r="P61" s="4" t="str">
        <f>HYPERLINK("http://141.218.60.56/~jnz1568/getInfo.php?workbook=11_01.xlsx&amp;sheet=A0&amp;row=61&amp;col=16&amp;number=1477100&amp;sourceID=12","1477100")</f>
        <v>1477100</v>
      </c>
      <c r="Q61" s="4" t="str">
        <f>HYPERLINK("http://141.218.60.56/~jnz1568/getInfo.php?workbook=11_01.xlsx&amp;sheet=A0&amp;row=61&amp;col=17&amp;number=&amp;sourceID=12","")</f>
        <v/>
      </c>
      <c r="R61" s="4" t="str">
        <f>HYPERLINK("http://141.218.60.56/~jnz1568/getInfo.php?workbook=11_01.xlsx&amp;sheet=A0&amp;row=61&amp;col=18&amp;number=0.47429&amp;sourceID=12","0.47429")</f>
        <v>0.47429</v>
      </c>
      <c r="S61" s="4" t="str">
        <f>HYPERLINK("http://141.218.60.56/~jnz1568/getInfo.php?workbook=11_01.xlsx&amp;sheet=A0&amp;row=61&amp;col=19&amp;number=&amp;sourceID=12","")</f>
        <v/>
      </c>
      <c r="T61" s="4" t="str">
        <f>HYPERLINK("http://141.218.60.56/~jnz1568/getInfo.php?workbook=11_01.xlsx&amp;sheet=A0&amp;row=61&amp;col=20&amp;number=0.00029601&amp;sourceID=12","0.00029601")</f>
        <v>0.00029601</v>
      </c>
      <c r="U61" s="4" t="str">
        <f>HYPERLINK("http://141.218.60.56/~jnz1568/getInfo.php?workbook=11_01.xlsx&amp;sheet=A0&amp;row=61&amp;col=21&amp;number=1477000.4744&amp;sourceID=30","1477000.4744")</f>
        <v>1477000.4744</v>
      </c>
      <c r="V61" s="4" t="str">
        <f>HYPERLINK("http://141.218.60.56/~jnz1568/getInfo.php?workbook=11_01.xlsx&amp;sheet=A0&amp;row=61&amp;col=22&amp;number=&amp;sourceID=30","")</f>
        <v/>
      </c>
      <c r="W61" s="4" t="str">
        <f>HYPERLINK("http://141.218.60.56/~jnz1568/getInfo.php?workbook=11_01.xlsx&amp;sheet=A0&amp;row=61&amp;col=23&amp;number=1477000&amp;sourceID=30","1477000")</f>
        <v>1477000</v>
      </c>
      <c r="X61" s="4" t="str">
        <f>HYPERLINK("http://141.218.60.56/~jnz1568/getInfo.php?workbook=11_01.xlsx&amp;sheet=A0&amp;row=61&amp;col=24&amp;number=0.4744&amp;sourceID=30","0.4744")</f>
        <v>0.4744</v>
      </c>
      <c r="Y61" s="4" t="str">
        <f>HYPERLINK("http://141.218.60.56/~jnz1568/getInfo.php?workbook=11_01.xlsx&amp;sheet=A0&amp;row=61&amp;col=25&amp;number=&amp;sourceID=30","")</f>
        <v/>
      </c>
      <c r="Z61" s="4" t="str">
        <f>HYPERLINK("http://141.218.60.56/~jnz1568/getInfo.php?workbook=11_01.xlsx&amp;sheet=A0&amp;row=61&amp;col=26&amp;number==&amp;sourceID=13","=")</f>
        <v>=</v>
      </c>
      <c r="AA61" s="4" t="str">
        <f>HYPERLINK("http://141.218.60.56/~jnz1568/getInfo.php?workbook=11_01.xlsx&amp;sheet=A0&amp;row=61&amp;col=27&amp;number=&amp;sourceID=13","")</f>
        <v/>
      </c>
      <c r="AB61" s="4" t="str">
        <f>HYPERLINK("http://141.218.60.56/~jnz1568/getInfo.php?workbook=11_01.xlsx&amp;sheet=A0&amp;row=61&amp;col=28&amp;number=1470000&amp;sourceID=13","1470000")</f>
        <v>1470000</v>
      </c>
      <c r="AC61" s="4" t="str">
        <f>HYPERLINK("http://141.218.60.56/~jnz1568/getInfo.php?workbook=11_01.xlsx&amp;sheet=A0&amp;row=61&amp;col=29&amp;number=&amp;sourceID=13","")</f>
        <v/>
      </c>
      <c r="AD61" s="4" t="str">
        <f>HYPERLINK("http://141.218.60.56/~jnz1568/getInfo.php?workbook=11_01.xlsx&amp;sheet=A0&amp;row=61&amp;col=30&amp;number=0.473&amp;sourceID=13","0.473")</f>
        <v>0.473</v>
      </c>
      <c r="AE61" s="4" t="str">
        <f>HYPERLINK("http://141.218.60.56/~jnz1568/getInfo.php?workbook=11_01.xlsx&amp;sheet=A0&amp;row=61&amp;col=31&amp;number=&amp;sourceID=13","")</f>
        <v/>
      </c>
    </row>
    <row r="62" spans="1:31">
      <c r="A62" s="3">
        <v>11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HYPERLINK("http://141.218.60.56/~jnz1568/getInfo.php?workbook=11_01.xlsx&amp;sheet=A0&amp;row=62&amp;col=6&amp;number=&amp;sourceID=18","")</f>
        <v/>
      </c>
      <c r="G62" s="4" t="str">
        <f>HYPERLINK("http://141.218.60.56/~jnz1568/getInfo.php?workbook=11_01.xlsx&amp;sheet=A0&amp;row=62&amp;col=7&amp;number==&amp;sourceID=11","=")</f>
        <v>=</v>
      </c>
      <c r="H62" s="4" t="str">
        <f>HYPERLINK("http://141.218.60.56/~jnz1568/getInfo.php?workbook=11_01.xlsx&amp;sheet=A0&amp;row=62&amp;col=8&amp;number=17197000000&amp;sourceID=11","17197000000")</f>
        <v>17197000000</v>
      </c>
      <c r="I62" s="4" t="str">
        <f>HYPERLINK("http://141.218.60.56/~jnz1568/getInfo.php?workbook=11_01.xlsx&amp;sheet=A0&amp;row=62&amp;col=9&amp;number=&amp;sourceID=11","")</f>
        <v/>
      </c>
      <c r="J62" s="4" t="str">
        <f>HYPERLINK("http://141.218.60.56/~jnz1568/getInfo.php?workbook=11_01.xlsx&amp;sheet=A0&amp;row=62&amp;col=10&amp;number=269.79&amp;sourceID=11","269.79")</f>
        <v>269.79</v>
      </c>
      <c r="K62" s="4" t="str">
        <f>HYPERLINK("http://141.218.60.56/~jnz1568/getInfo.php?workbook=11_01.xlsx&amp;sheet=A0&amp;row=62&amp;col=11&amp;number=&amp;sourceID=11","")</f>
        <v/>
      </c>
      <c r="L62" s="4" t="str">
        <f>HYPERLINK("http://141.218.60.56/~jnz1568/getInfo.php?workbook=11_01.xlsx&amp;sheet=A0&amp;row=62&amp;col=12&amp;number=&amp;sourceID=11","")</f>
        <v/>
      </c>
      <c r="M62" s="4" t="str">
        <f>HYPERLINK("http://141.218.60.56/~jnz1568/getInfo.php?workbook=11_01.xlsx&amp;sheet=A0&amp;row=62&amp;col=13&amp;number=&amp;sourceID=11","")</f>
        <v/>
      </c>
      <c r="N62" s="4" t="str">
        <f>HYPERLINK("http://141.218.60.56/~jnz1568/getInfo.php?workbook=11_01.xlsx&amp;sheet=A0&amp;row=62&amp;col=14&amp;number=17198000000&amp;sourceID=12","17198000000")</f>
        <v>17198000000</v>
      </c>
      <c r="O62" s="4" t="str">
        <f>HYPERLINK("http://141.218.60.56/~jnz1568/getInfo.php?workbook=11_01.xlsx&amp;sheet=A0&amp;row=62&amp;col=15&amp;number=17198000000&amp;sourceID=12","17198000000")</f>
        <v>17198000000</v>
      </c>
      <c r="P62" s="4" t="str">
        <f>HYPERLINK("http://141.218.60.56/~jnz1568/getInfo.php?workbook=11_01.xlsx&amp;sheet=A0&amp;row=62&amp;col=16&amp;number=&amp;sourceID=12","")</f>
        <v/>
      </c>
      <c r="Q62" s="4" t="str">
        <f>HYPERLINK("http://141.218.60.56/~jnz1568/getInfo.php?workbook=11_01.xlsx&amp;sheet=A0&amp;row=62&amp;col=17&amp;number=269.8&amp;sourceID=12","269.8")</f>
        <v>269.8</v>
      </c>
      <c r="R62" s="4" t="str">
        <f>HYPERLINK("http://141.218.60.56/~jnz1568/getInfo.php?workbook=11_01.xlsx&amp;sheet=A0&amp;row=62&amp;col=18&amp;number=&amp;sourceID=12","")</f>
        <v/>
      </c>
      <c r="S62" s="4" t="str">
        <f>HYPERLINK("http://141.218.60.56/~jnz1568/getInfo.php?workbook=11_01.xlsx&amp;sheet=A0&amp;row=62&amp;col=19&amp;number=&amp;sourceID=12","")</f>
        <v/>
      </c>
      <c r="T62" s="4" t="str">
        <f>HYPERLINK("http://141.218.60.56/~jnz1568/getInfo.php?workbook=11_01.xlsx&amp;sheet=A0&amp;row=62&amp;col=20&amp;number=&amp;sourceID=12","")</f>
        <v/>
      </c>
      <c r="U62" s="4" t="str">
        <f>HYPERLINK("http://141.218.60.56/~jnz1568/getInfo.php?workbook=11_01.xlsx&amp;sheet=A0&amp;row=62&amp;col=21&amp;number=17200000000&amp;sourceID=30","17200000000")</f>
        <v>17200000000</v>
      </c>
      <c r="V62" s="4" t="str">
        <f>HYPERLINK("http://141.218.60.56/~jnz1568/getInfo.php?workbook=11_01.xlsx&amp;sheet=A0&amp;row=62&amp;col=22&amp;number=17200000000&amp;sourceID=30","17200000000")</f>
        <v>17200000000</v>
      </c>
      <c r="W62" s="4" t="str">
        <f>HYPERLINK("http://141.218.60.56/~jnz1568/getInfo.php?workbook=11_01.xlsx&amp;sheet=A0&amp;row=62&amp;col=23&amp;number=&amp;sourceID=30","")</f>
        <v/>
      </c>
      <c r="X62" s="4" t="str">
        <f>HYPERLINK("http://141.218.60.56/~jnz1568/getInfo.php?workbook=11_01.xlsx&amp;sheet=A0&amp;row=62&amp;col=24&amp;number=&amp;sourceID=30","")</f>
        <v/>
      </c>
      <c r="Y62" s="4" t="str">
        <f>HYPERLINK("http://141.218.60.56/~jnz1568/getInfo.php?workbook=11_01.xlsx&amp;sheet=A0&amp;row=62&amp;col=25&amp;number=&amp;sourceID=30","")</f>
        <v/>
      </c>
      <c r="Z62" s="4" t="str">
        <f>HYPERLINK("http://141.218.60.56/~jnz1568/getInfo.php?workbook=11_01.xlsx&amp;sheet=A0&amp;row=62&amp;col=26&amp;number==&amp;sourceID=13","=")</f>
        <v>=</v>
      </c>
      <c r="AA62" s="4" t="str">
        <f>HYPERLINK("http://141.218.60.56/~jnz1568/getInfo.php?workbook=11_01.xlsx&amp;sheet=A0&amp;row=62&amp;col=27&amp;number=17200000000&amp;sourceID=13","17200000000")</f>
        <v>17200000000</v>
      </c>
      <c r="AB62" s="4" t="str">
        <f>HYPERLINK("http://141.218.60.56/~jnz1568/getInfo.php?workbook=11_01.xlsx&amp;sheet=A0&amp;row=62&amp;col=28&amp;number=&amp;sourceID=13","")</f>
        <v/>
      </c>
      <c r="AC62" s="4" t="str">
        <f>HYPERLINK("http://141.218.60.56/~jnz1568/getInfo.php?workbook=11_01.xlsx&amp;sheet=A0&amp;row=62&amp;col=29&amp;number=&amp;sourceID=13","")</f>
        <v/>
      </c>
      <c r="AD62" s="4" t="str">
        <f>HYPERLINK("http://141.218.60.56/~jnz1568/getInfo.php?workbook=11_01.xlsx&amp;sheet=A0&amp;row=62&amp;col=30&amp;number=&amp;sourceID=13","")</f>
        <v/>
      </c>
      <c r="AE62" s="4" t="str">
        <f>HYPERLINK("http://141.218.60.56/~jnz1568/getInfo.php?workbook=11_01.xlsx&amp;sheet=A0&amp;row=62&amp;col=31&amp;number=&amp;sourceID=13","")</f>
        <v/>
      </c>
    </row>
    <row r="63" spans="1:31">
      <c r="A63" s="3">
        <v>11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HYPERLINK("http://141.218.60.56/~jnz1568/getInfo.php?workbook=11_01.xlsx&amp;sheet=A0&amp;row=63&amp;col=6&amp;number=&amp;sourceID=18","")</f>
        <v/>
      </c>
      <c r="G63" s="4" t="str">
        <f>HYPERLINK("http://141.218.60.56/~jnz1568/getInfo.php?workbook=11_01.xlsx&amp;sheet=A0&amp;row=63&amp;col=7&amp;number==&amp;sourceID=11","=")</f>
        <v>=</v>
      </c>
      <c r="H63" s="4" t="str">
        <f>HYPERLINK("http://141.218.60.56/~jnz1568/getInfo.php?workbook=11_01.xlsx&amp;sheet=A0&amp;row=63&amp;col=8&amp;number=&amp;sourceID=11","")</f>
        <v/>
      </c>
      <c r="I63" s="4" t="str">
        <f>HYPERLINK("http://141.218.60.56/~jnz1568/getInfo.php?workbook=11_01.xlsx&amp;sheet=A0&amp;row=63&amp;col=9&amp;number=632440&amp;sourceID=11","632440")</f>
        <v>632440</v>
      </c>
      <c r="J63" s="4" t="str">
        <f>HYPERLINK("http://141.218.60.56/~jnz1568/getInfo.php?workbook=11_01.xlsx&amp;sheet=A0&amp;row=63&amp;col=10&amp;number=&amp;sourceID=11","")</f>
        <v/>
      </c>
      <c r="K63" s="4" t="str">
        <f>HYPERLINK("http://141.218.60.56/~jnz1568/getInfo.php?workbook=11_01.xlsx&amp;sheet=A0&amp;row=63&amp;col=11&amp;number=1.414&amp;sourceID=11","1.414")</f>
        <v>1.414</v>
      </c>
      <c r="L63" s="4" t="str">
        <f>HYPERLINK("http://141.218.60.56/~jnz1568/getInfo.php?workbook=11_01.xlsx&amp;sheet=A0&amp;row=63&amp;col=12&amp;number=&amp;sourceID=11","")</f>
        <v/>
      </c>
      <c r="M63" s="4" t="str">
        <f>HYPERLINK("http://141.218.60.56/~jnz1568/getInfo.php?workbook=11_01.xlsx&amp;sheet=A0&amp;row=63&amp;col=13&amp;number=0.0001969&amp;sourceID=11","0.0001969")</f>
        <v>0.0001969</v>
      </c>
      <c r="N63" s="4" t="str">
        <f>HYPERLINK("http://141.218.60.56/~jnz1568/getInfo.php?workbook=11_01.xlsx&amp;sheet=A0&amp;row=63&amp;col=14&amp;number=632460&amp;sourceID=12","632460")</f>
        <v>632460</v>
      </c>
      <c r="O63" s="4" t="str">
        <f>HYPERLINK("http://141.218.60.56/~jnz1568/getInfo.php?workbook=11_01.xlsx&amp;sheet=A0&amp;row=63&amp;col=15&amp;number=&amp;sourceID=12","")</f>
        <v/>
      </c>
      <c r="P63" s="4" t="str">
        <f>HYPERLINK("http://141.218.60.56/~jnz1568/getInfo.php?workbook=11_01.xlsx&amp;sheet=A0&amp;row=63&amp;col=16&amp;number=632460&amp;sourceID=12","632460")</f>
        <v>632460</v>
      </c>
      <c r="Q63" s="4" t="str">
        <f>HYPERLINK("http://141.218.60.56/~jnz1568/getInfo.php?workbook=11_01.xlsx&amp;sheet=A0&amp;row=63&amp;col=17&amp;number=&amp;sourceID=12","")</f>
        <v/>
      </c>
      <c r="R63" s="4" t="str">
        <f>HYPERLINK("http://141.218.60.56/~jnz1568/getInfo.php?workbook=11_01.xlsx&amp;sheet=A0&amp;row=63&amp;col=18&amp;number=1.414&amp;sourceID=12","1.414")</f>
        <v>1.414</v>
      </c>
      <c r="S63" s="4" t="str">
        <f>HYPERLINK("http://141.218.60.56/~jnz1568/getInfo.php?workbook=11_01.xlsx&amp;sheet=A0&amp;row=63&amp;col=19&amp;number=&amp;sourceID=12","")</f>
        <v/>
      </c>
      <c r="T63" s="4" t="str">
        <f>HYPERLINK("http://141.218.60.56/~jnz1568/getInfo.php?workbook=11_01.xlsx&amp;sheet=A0&amp;row=63&amp;col=20&amp;number=0.00019691&amp;sourceID=12","0.00019691")</f>
        <v>0.00019691</v>
      </c>
      <c r="U63" s="4" t="str">
        <f>HYPERLINK("http://141.218.60.56/~jnz1568/getInfo.php?workbook=11_01.xlsx&amp;sheet=A0&amp;row=63&amp;col=21&amp;number=632501.414&amp;sourceID=30","632501.414")</f>
        <v>632501.414</v>
      </c>
      <c r="V63" s="4" t="str">
        <f>HYPERLINK("http://141.218.60.56/~jnz1568/getInfo.php?workbook=11_01.xlsx&amp;sheet=A0&amp;row=63&amp;col=22&amp;number=&amp;sourceID=30","")</f>
        <v/>
      </c>
      <c r="W63" s="4" t="str">
        <f>HYPERLINK("http://141.218.60.56/~jnz1568/getInfo.php?workbook=11_01.xlsx&amp;sheet=A0&amp;row=63&amp;col=23&amp;number=632500&amp;sourceID=30","632500")</f>
        <v>632500</v>
      </c>
      <c r="X63" s="4" t="str">
        <f>HYPERLINK("http://141.218.60.56/~jnz1568/getInfo.php?workbook=11_01.xlsx&amp;sheet=A0&amp;row=63&amp;col=24&amp;number=1.414&amp;sourceID=30","1.414")</f>
        <v>1.414</v>
      </c>
      <c r="Y63" s="4" t="str">
        <f>HYPERLINK("http://141.218.60.56/~jnz1568/getInfo.php?workbook=11_01.xlsx&amp;sheet=A0&amp;row=63&amp;col=25&amp;number=&amp;sourceID=30","")</f>
        <v/>
      </c>
      <c r="Z63" s="4" t="str">
        <f>HYPERLINK("http://141.218.60.56/~jnz1568/getInfo.php?workbook=11_01.xlsx&amp;sheet=A0&amp;row=63&amp;col=26&amp;number==&amp;sourceID=13","=")</f>
        <v>=</v>
      </c>
      <c r="AA63" s="4" t="str">
        <f>HYPERLINK("http://141.218.60.56/~jnz1568/getInfo.php?workbook=11_01.xlsx&amp;sheet=A0&amp;row=63&amp;col=27&amp;number=&amp;sourceID=13","")</f>
        <v/>
      </c>
      <c r="AB63" s="4" t="str">
        <f>HYPERLINK("http://141.218.60.56/~jnz1568/getInfo.php?workbook=11_01.xlsx&amp;sheet=A0&amp;row=63&amp;col=28&amp;number=631000&amp;sourceID=13","631000")</f>
        <v>631000</v>
      </c>
      <c r="AC63" s="4" t="str">
        <f>HYPERLINK("http://141.218.60.56/~jnz1568/getInfo.php?workbook=11_01.xlsx&amp;sheet=A0&amp;row=63&amp;col=29&amp;number=&amp;sourceID=13","")</f>
        <v/>
      </c>
      <c r="AD63" s="4" t="str">
        <f>HYPERLINK("http://141.218.60.56/~jnz1568/getInfo.php?workbook=11_01.xlsx&amp;sheet=A0&amp;row=63&amp;col=30&amp;number=1.54&amp;sourceID=13","1.54")</f>
        <v>1.54</v>
      </c>
      <c r="AE63" s="4" t="str">
        <f>HYPERLINK("http://141.218.60.56/~jnz1568/getInfo.php?workbook=11_01.xlsx&amp;sheet=A0&amp;row=63&amp;col=31&amp;number=&amp;sourceID=13","")</f>
        <v/>
      </c>
    </row>
    <row r="64" spans="1:31">
      <c r="A64" s="3">
        <v>11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HYPERLINK("http://141.218.60.56/~jnz1568/getInfo.php?workbook=11_01.xlsx&amp;sheet=A0&amp;row=64&amp;col=6&amp;number=&amp;sourceID=18","")</f>
        <v/>
      </c>
      <c r="G64" s="4" t="str">
        <f>HYPERLINK("http://141.218.60.56/~jnz1568/getInfo.php?workbook=11_01.xlsx&amp;sheet=A0&amp;row=64&amp;col=7&amp;number==&amp;sourceID=11","=")</f>
        <v>=</v>
      </c>
      <c r="H64" s="4" t="str">
        <f>HYPERLINK("http://141.218.60.56/~jnz1568/getInfo.php?workbook=11_01.xlsx&amp;sheet=A0&amp;row=64&amp;col=8&amp;number=728.27&amp;sourceID=11","728.27")</f>
        <v>728.27</v>
      </c>
      <c r="I64" s="4" t="str">
        <f>HYPERLINK("http://141.218.60.56/~jnz1568/getInfo.php?workbook=11_01.xlsx&amp;sheet=A0&amp;row=64&amp;col=9&amp;number=&amp;sourceID=11","")</f>
        <v/>
      </c>
      <c r="J64" s="4" t="str">
        <f>HYPERLINK("http://141.218.60.56/~jnz1568/getInfo.php?workbook=11_01.xlsx&amp;sheet=A0&amp;row=64&amp;col=10&amp;number=&amp;sourceID=11","")</f>
        <v/>
      </c>
      <c r="K64" s="4" t="str">
        <f>HYPERLINK("http://141.218.60.56/~jnz1568/getInfo.php?workbook=11_01.xlsx&amp;sheet=A0&amp;row=64&amp;col=11&amp;number=&amp;sourceID=11","")</f>
        <v/>
      </c>
      <c r="L64" s="4" t="str">
        <f>HYPERLINK("http://141.218.60.56/~jnz1568/getInfo.php?workbook=11_01.xlsx&amp;sheet=A0&amp;row=64&amp;col=12&amp;number=1.45e-13&amp;sourceID=11","1.45e-13")</f>
        <v>1.45e-13</v>
      </c>
      <c r="M64" s="4" t="str">
        <f>HYPERLINK("http://141.218.60.56/~jnz1568/getInfo.php?workbook=11_01.xlsx&amp;sheet=A0&amp;row=64&amp;col=13&amp;number=&amp;sourceID=11","")</f>
        <v/>
      </c>
      <c r="N64" s="4" t="str">
        <f>HYPERLINK("http://141.218.60.56/~jnz1568/getInfo.php?workbook=11_01.xlsx&amp;sheet=A0&amp;row=64&amp;col=14&amp;number=728.29&amp;sourceID=12","728.29")</f>
        <v>728.29</v>
      </c>
      <c r="O64" s="4" t="str">
        <f>HYPERLINK("http://141.218.60.56/~jnz1568/getInfo.php?workbook=11_01.xlsx&amp;sheet=A0&amp;row=64&amp;col=15&amp;number=728.29&amp;sourceID=12","728.29")</f>
        <v>728.29</v>
      </c>
      <c r="P64" s="4" t="str">
        <f>HYPERLINK("http://141.218.60.56/~jnz1568/getInfo.php?workbook=11_01.xlsx&amp;sheet=A0&amp;row=64&amp;col=16&amp;number=&amp;sourceID=12","")</f>
        <v/>
      </c>
      <c r="Q64" s="4" t="str">
        <f>HYPERLINK("http://141.218.60.56/~jnz1568/getInfo.php?workbook=11_01.xlsx&amp;sheet=A0&amp;row=64&amp;col=17&amp;number=&amp;sourceID=12","")</f>
        <v/>
      </c>
      <c r="R64" s="4" t="str">
        <f>HYPERLINK("http://141.218.60.56/~jnz1568/getInfo.php?workbook=11_01.xlsx&amp;sheet=A0&amp;row=64&amp;col=18&amp;number=&amp;sourceID=12","")</f>
        <v/>
      </c>
      <c r="S64" s="4" t="str">
        <f>HYPERLINK("http://141.218.60.56/~jnz1568/getInfo.php?workbook=11_01.xlsx&amp;sheet=A0&amp;row=64&amp;col=19&amp;number=1.45e-13&amp;sourceID=12","1.45e-13")</f>
        <v>1.45e-13</v>
      </c>
      <c r="T64" s="4" t="str">
        <f>HYPERLINK("http://141.218.60.56/~jnz1568/getInfo.php?workbook=11_01.xlsx&amp;sheet=A0&amp;row=64&amp;col=20&amp;number=&amp;sourceID=12","")</f>
        <v/>
      </c>
      <c r="U64" s="4" t="str">
        <f>HYPERLINK("http://141.218.60.56/~jnz1568/getInfo.php?workbook=11_01.xlsx&amp;sheet=A0&amp;row=64&amp;col=21&amp;number=728.3&amp;sourceID=30","728.3")</f>
        <v>728.3</v>
      </c>
      <c r="V64" s="4" t="str">
        <f>HYPERLINK("http://141.218.60.56/~jnz1568/getInfo.php?workbook=11_01.xlsx&amp;sheet=A0&amp;row=64&amp;col=22&amp;number=728.3&amp;sourceID=30","728.3")</f>
        <v>728.3</v>
      </c>
      <c r="W64" s="4" t="str">
        <f>HYPERLINK("http://141.218.60.56/~jnz1568/getInfo.php?workbook=11_01.xlsx&amp;sheet=A0&amp;row=64&amp;col=23&amp;number=&amp;sourceID=30","")</f>
        <v/>
      </c>
      <c r="X64" s="4" t="str">
        <f>HYPERLINK("http://141.218.60.56/~jnz1568/getInfo.php?workbook=11_01.xlsx&amp;sheet=A0&amp;row=64&amp;col=24&amp;number=&amp;sourceID=30","")</f>
        <v/>
      </c>
      <c r="Y64" s="4" t="str">
        <f>HYPERLINK("http://141.218.60.56/~jnz1568/getInfo.php?workbook=11_01.xlsx&amp;sheet=A0&amp;row=64&amp;col=25&amp;number=1.45e-13&amp;sourceID=30","1.45e-13")</f>
        <v>1.45e-13</v>
      </c>
      <c r="Z64" s="4" t="str">
        <f>HYPERLINK("http://141.218.60.56/~jnz1568/getInfo.php?workbook=11_01.xlsx&amp;sheet=A0&amp;row=64&amp;col=26&amp;number==&amp;sourceID=13","=")</f>
        <v>=</v>
      </c>
      <c r="AA64" s="4" t="str">
        <f>HYPERLINK("http://141.218.60.56/~jnz1568/getInfo.php?workbook=11_01.xlsx&amp;sheet=A0&amp;row=64&amp;col=27&amp;number=702&amp;sourceID=13","702")</f>
        <v>702</v>
      </c>
      <c r="AB64" s="4" t="str">
        <f>HYPERLINK("http://141.218.60.56/~jnz1568/getInfo.php?workbook=11_01.xlsx&amp;sheet=A0&amp;row=64&amp;col=28&amp;number=&amp;sourceID=13","")</f>
        <v/>
      </c>
      <c r="AC64" s="4" t="str">
        <f>HYPERLINK("http://141.218.60.56/~jnz1568/getInfo.php?workbook=11_01.xlsx&amp;sheet=A0&amp;row=64&amp;col=29&amp;number=&amp;sourceID=13","")</f>
        <v/>
      </c>
      <c r="AD64" s="4" t="str">
        <f>HYPERLINK("http://141.218.60.56/~jnz1568/getInfo.php?workbook=11_01.xlsx&amp;sheet=A0&amp;row=64&amp;col=30&amp;number=&amp;sourceID=13","")</f>
        <v/>
      </c>
      <c r="AE64" s="4" t="str">
        <f>HYPERLINK("http://141.218.60.56/~jnz1568/getInfo.php?workbook=11_01.xlsx&amp;sheet=A0&amp;row=64&amp;col=31&amp;number=&amp;sourceID=13","")</f>
        <v/>
      </c>
    </row>
    <row r="65" spans="1:31">
      <c r="A65" s="3">
        <v>11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HYPERLINK("http://141.218.60.56/~jnz1568/getInfo.php?workbook=11_01.xlsx&amp;sheet=A0&amp;row=65&amp;col=6&amp;number=&amp;sourceID=18","")</f>
        <v/>
      </c>
      <c r="G65" s="4" t="str">
        <f>HYPERLINK("http://141.218.60.56/~jnz1568/getInfo.php?workbook=11_01.xlsx&amp;sheet=A0&amp;row=65&amp;col=7&amp;number==&amp;sourceID=11","=")</f>
        <v>=</v>
      </c>
      <c r="H65" s="4" t="str">
        <f>HYPERLINK("http://141.218.60.56/~jnz1568/getInfo.php?workbook=11_01.xlsx&amp;sheet=A0&amp;row=65&amp;col=8&amp;number=&amp;sourceID=11","")</f>
        <v/>
      </c>
      <c r="I65" s="4" t="str">
        <f>HYPERLINK("http://141.218.60.56/~jnz1568/getInfo.php?workbook=11_01.xlsx&amp;sheet=A0&amp;row=65&amp;col=9&amp;number=5.9825e-08&amp;sourceID=11","5.9825e-08")</f>
        <v>5.9825e-08</v>
      </c>
      <c r="J65" s="4" t="str">
        <f>HYPERLINK("http://141.218.60.56/~jnz1568/getInfo.php?workbook=11_01.xlsx&amp;sheet=A0&amp;row=65&amp;col=10&amp;number=&amp;sourceID=11","")</f>
        <v/>
      </c>
      <c r="K65" s="4" t="str">
        <f>HYPERLINK("http://141.218.60.56/~jnz1568/getInfo.php?workbook=11_01.xlsx&amp;sheet=A0&amp;row=65&amp;col=11&amp;number=5.556e-12&amp;sourceID=11","5.556e-12")</f>
        <v>5.556e-12</v>
      </c>
      <c r="L65" s="4" t="str">
        <f>HYPERLINK("http://141.218.60.56/~jnz1568/getInfo.php?workbook=11_01.xlsx&amp;sheet=A0&amp;row=65&amp;col=12&amp;number=&amp;sourceID=11","")</f>
        <v/>
      </c>
      <c r="M65" s="4" t="str">
        <f>HYPERLINK("http://141.218.60.56/~jnz1568/getInfo.php?workbook=11_01.xlsx&amp;sheet=A0&amp;row=65&amp;col=13&amp;number=&amp;sourceID=11","")</f>
        <v/>
      </c>
      <c r="N65" s="4" t="str">
        <f>HYPERLINK("http://141.218.60.56/~jnz1568/getInfo.php?workbook=11_01.xlsx&amp;sheet=A0&amp;row=65&amp;col=14&amp;number=5.9834e-08&amp;sourceID=12","5.9834e-08")</f>
        <v>5.9834e-08</v>
      </c>
      <c r="O65" s="4" t="str">
        <f>HYPERLINK("http://141.218.60.56/~jnz1568/getInfo.php?workbook=11_01.xlsx&amp;sheet=A0&amp;row=65&amp;col=15&amp;number=&amp;sourceID=12","")</f>
        <v/>
      </c>
      <c r="P65" s="4" t="str">
        <f>HYPERLINK("http://141.218.60.56/~jnz1568/getInfo.php?workbook=11_01.xlsx&amp;sheet=A0&amp;row=65&amp;col=16&amp;number=5.9828e-08&amp;sourceID=12","5.9828e-08")</f>
        <v>5.9828e-08</v>
      </c>
      <c r="Q65" s="4" t="str">
        <f>HYPERLINK("http://141.218.60.56/~jnz1568/getInfo.php?workbook=11_01.xlsx&amp;sheet=A0&amp;row=65&amp;col=17&amp;number=&amp;sourceID=12","")</f>
        <v/>
      </c>
      <c r="R65" s="4" t="str">
        <f>HYPERLINK("http://141.218.60.56/~jnz1568/getInfo.php?workbook=11_01.xlsx&amp;sheet=A0&amp;row=65&amp;col=18&amp;number=5.557e-12&amp;sourceID=12","5.557e-12")</f>
        <v>5.557e-12</v>
      </c>
      <c r="S65" s="4" t="str">
        <f>HYPERLINK("http://141.218.60.56/~jnz1568/getInfo.php?workbook=11_01.xlsx&amp;sheet=A0&amp;row=65&amp;col=19&amp;number=&amp;sourceID=12","")</f>
        <v/>
      </c>
      <c r="T65" s="4" t="str">
        <f>HYPERLINK("http://141.218.60.56/~jnz1568/getInfo.php?workbook=11_01.xlsx&amp;sheet=A0&amp;row=65&amp;col=20&amp;number=&amp;sourceID=12","")</f>
        <v/>
      </c>
      <c r="U65" s="4" t="str">
        <f>HYPERLINK("http://141.218.60.56/~jnz1568/getInfo.php?workbook=11_01.xlsx&amp;sheet=A0&amp;row=65&amp;col=21&amp;number=5.9835574e-08&amp;sourceID=30","5.9835574e-08")</f>
        <v>5.9835574e-08</v>
      </c>
      <c r="V65" s="4" t="str">
        <f>HYPERLINK("http://141.218.60.56/~jnz1568/getInfo.php?workbook=11_01.xlsx&amp;sheet=A0&amp;row=65&amp;col=22&amp;number=&amp;sourceID=30","")</f>
        <v/>
      </c>
      <c r="W65" s="4" t="str">
        <f>HYPERLINK("http://141.218.60.56/~jnz1568/getInfo.php?workbook=11_01.xlsx&amp;sheet=A0&amp;row=65&amp;col=23&amp;number=5.983e-08&amp;sourceID=30","5.983e-08")</f>
        <v>5.983e-08</v>
      </c>
      <c r="X65" s="4" t="str">
        <f>HYPERLINK("http://141.218.60.56/~jnz1568/getInfo.php?workbook=11_01.xlsx&amp;sheet=A0&amp;row=65&amp;col=24&amp;number=5.574e-12&amp;sourceID=30","5.574e-12")</f>
        <v>5.574e-12</v>
      </c>
      <c r="Y65" s="4" t="str">
        <f>HYPERLINK("http://141.218.60.56/~jnz1568/getInfo.php?workbook=11_01.xlsx&amp;sheet=A0&amp;row=65&amp;col=25&amp;number=&amp;sourceID=30","")</f>
        <v/>
      </c>
      <c r="Z65" s="4" t="str">
        <f>HYPERLINK("http://141.218.60.56/~jnz1568/getInfo.php?workbook=11_01.xlsx&amp;sheet=A0&amp;row=65&amp;col=26&amp;number=&amp;sourceID=13","")</f>
        <v/>
      </c>
      <c r="AA65" s="4" t="str">
        <f>HYPERLINK("http://141.218.60.56/~jnz1568/getInfo.php?workbook=11_01.xlsx&amp;sheet=A0&amp;row=65&amp;col=27&amp;number=&amp;sourceID=13","")</f>
        <v/>
      </c>
      <c r="AB65" s="4" t="str">
        <f>HYPERLINK("http://141.218.60.56/~jnz1568/getInfo.php?workbook=11_01.xlsx&amp;sheet=A0&amp;row=65&amp;col=28&amp;number=&amp;sourceID=13","")</f>
        <v/>
      </c>
      <c r="AC65" s="4" t="str">
        <f>HYPERLINK("http://141.218.60.56/~jnz1568/getInfo.php?workbook=11_01.xlsx&amp;sheet=A0&amp;row=65&amp;col=29&amp;number=&amp;sourceID=13","")</f>
        <v/>
      </c>
      <c r="AD65" s="4" t="str">
        <f>HYPERLINK("http://141.218.60.56/~jnz1568/getInfo.php?workbook=11_01.xlsx&amp;sheet=A0&amp;row=65&amp;col=30&amp;number=&amp;sourceID=13","")</f>
        <v/>
      </c>
      <c r="AE65" s="4" t="str">
        <f>HYPERLINK("http://141.218.60.56/~jnz1568/getInfo.php?workbook=11_01.xlsx&amp;sheet=A0&amp;row=65&amp;col=31&amp;number=&amp;sourceID=13","")</f>
        <v/>
      </c>
    </row>
    <row r="66" spans="1:31">
      <c r="A66" s="3">
        <v>11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HYPERLINK("http://141.218.60.56/~jnz1568/getInfo.php?workbook=11_01.xlsx&amp;sheet=A0&amp;row=66&amp;col=6&amp;number=&amp;sourceID=18","")</f>
        <v/>
      </c>
      <c r="G66" s="4" t="str">
        <f>HYPERLINK("http://141.218.60.56/~jnz1568/getInfo.php?workbook=11_01.xlsx&amp;sheet=A0&amp;row=66&amp;col=7&amp;number==&amp;sourceID=11","=")</f>
        <v>=</v>
      </c>
      <c r="H66" s="4" t="str">
        <f>HYPERLINK("http://141.218.60.56/~jnz1568/getInfo.php?workbook=11_01.xlsx&amp;sheet=A0&amp;row=66&amp;col=8&amp;number=998250000000&amp;sourceID=11","998250000000")</f>
        <v>998250000000</v>
      </c>
      <c r="I66" s="4" t="str">
        <f>HYPERLINK("http://141.218.60.56/~jnz1568/getInfo.php?workbook=11_01.xlsx&amp;sheet=A0&amp;row=66&amp;col=9&amp;number=&amp;sourceID=11","")</f>
        <v/>
      </c>
      <c r="J66" s="4" t="str">
        <f>HYPERLINK("http://141.218.60.56/~jnz1568/getInfo.php?workbook=11_01.xlsx&amp;sheet=A0&amp;row=66&amp;col=10&amp;number=&amp;sourceID=11","")</f>
        <v/>
      </c>
      <c r="K66" s="4" t="str">
        <f>HYPERLINK("http://141.218.60.56/~jnz1568/getInfo.php?workbook=11_01.xlsx&amp;sheet=A0&amp;row=66&amp;col=11&amp;number=&amp;sourceID=11","")</f>
        <v/>
      </c>
      <c r="L66" s="4" t="str">
        <f>HYPERLINK("http://141.218.60.56/~jnz1568/getInfo.php?workbook=11_01.xlsx&amp;sheet=A0&amp;row=66&amp;col=12&amp;number=1710000&amp;sourceID=11","1710000")</f>
        <v>1710000</v>
      </c>
      <c r="M66" s="4" t="str">
        <f>HYPERLINK("http://141.218.60.56/~jnz1568/getInfo.php?workbook=11_01.xlsx&amp;sheet=A0&amp;row=66&amp;col=13&amp;number=&amp;sourceID=11","")</f>
        <v/>
      </c>
      <c r="N66" s="4" t="str">
        <f>HYPERLINK("http://141.218.60.56/~jnz1568/getInfo.php?workbook=11_01.xlsx&amp;sheet=A0&amp;row=66&amp;col=14&amp;number=998270000000&amp;sourceID=12","998270000000")</f>
        <v>998270000000</v>
      </c>
      <c r="O66" s="4" t="str">
        <f>HYPERLINK("http://141.218.60.56/~jnz1568/getInfo.php?workbook=11_01.xlsx&amp;sheet=A0&amp;row=66&amp;col=15&amp;number=998270000000&amp;sourceID=12","998270000000")</f>
        <v>998270000000</v>
      </c>
      <c r="P66" s="4" t="str">
        <f>HYPERLINK("http://141.218.60.56/~jnz1568/getInfo.php?workbook=11_01.xlsx&amp;sheet=A0&amp;row=66&amp;col=16&amp;number=&amp;sourceID=12","")</f>
        <v/>
      </c>
      <c r="Q66" s="4" t="str">
        <f>HYPERLINK("http://141.218.60.56/~jnz1568/getInfo.php?workbook=11_01.xlsx&amp;sheet=A0&amp;row=66&amp;col=17&amp;number=&amp;sourceID=12","")</f>
        <v/>
      </c>
      <c r="R66" s="4" t="str">
        <f>HYPERLINK("http://141.218.60.56/~jnz1568/getInfo.php?workbook=11_01.xlsx&amp;sheet=A0&amp;row=66&amp;col=18&amp;number=&amp;sourceID=12","")</f>
        <v/>
      </c>
      <c r="S66" s="4" t="str">
        <f>HYPERLINK("http://141.218.60.56/~jnz1568/getInfo.php?workbook=11_01.xlsx&amp;sheet=A0&amp;row=66&amp;col=19&amp;number=1710100&amp;sourceID=12","1710100")</f>
        <v>1710100</v>
      </c>
      <c r="T66" s="4" t="str">
        <f>HYPERLINK("http://141.218.60.56/~jnz1568/getInfo.php?workbook=11_01.xlsx&amp;sheet=A0&amp;row=66&amp;col=20&amp;number=&amp;sourceID=12","")</f>
        <v/>
      </c>
      <c r="U66" s="4" t="str">
        <f>HYPERLINK("http://141.218.60.56/~jnz1568/getInfo.php?workbook=11_01.xlsx&amp;sheet=A0&amp;row=66&amp;col=21&amp;number=998301710000&amp;sourceID=30","998301710000")</f>
        <v>998301710000</v>
      </c>
      <c r="V66" s="4" t="str">
        <f>HYPERLINK("http://141.218.60.56/~jnz1568/getInfo.php?workbook=11_01.xlsx&amp;sheet=A0&amp;row=66&amp;col=22&amp;number=998300000000&amp;sourceID=30","998300000000")</f>
        <v>998300000000</v>
      </c>
      <c r="W66" s="4" t="str">
        <f>HYPERLINK("http://141.218.60.56/~jnz1568/getInfo.php?workbook=11_01.xlsx&amp;sheet=A0&amp;row=66&amp;col=23&amp;number=&amp;sourceID=30","")</f>
        <v/>
      </c>
      <c r="X66" s="4" t="str">
        <f>HYPERLINK("http://141.218.60.56/~jnz1568/getInfo.php?workbook=11_01.xlsx&amp;sheet=A0&amp;row=66&amp;col=24&amp;number=&amp;sourceID=30","")</f>
        <v/>
      </c>
      <c r="Y66" s="4" t="str">
        <f>HYPERLINK("http://141.218.60.56/~jnz1568/getInfo.php?workbook=11_01.xlsx&amp;sheet=A0&amp;row=66&amp;col=25&amp;number=1710000&amp;sourceID=30","1710000")</f>
        <v>1710000</v>
      </c>
      <c r="Z66" s="4" t="str">
        <f>HYPERLINK("http://141.218.60.56/~jnz1568/getInfo.php?workbook=11_01.xlsx&amp;sheet=A0&amp;row=66&amp;col=26&amp;number==SUM(AA66:AE66)&amp;sourceID=13","=SUM(AA66:AE66)")</f>
        <v>=SUM(AA66:AE66)</v>
      </c>
      <c r="AA66" s="4" t="str">
        <f>HYPERLINK("http://141.218.60.56/~jnz1568/getInfo.php?workbook=11_01.xlsx&amp;sheet=A0&amp;row=66&amp;col=27&amp;number=972000000000&amp;sourceID=13","972000000000")</f>
        <v>972000000000</v>
      </c>
      <c r="AB66" s="4" t="str">
        <f>HYPERLINK("http://141.218.60.56/~jnz1568/getInfo.php?workbook=11_01.xlsx&amp;sheet=A0&amp;row=66&amp;col=28&amp;number=&amp;sourceID=13","")</f>
        <v/>
      </c>
      <c r="AC66" s="4" t="str">
        <f>HYPERLINK("http://141.218.60.56/~jnz1568/getInfo.php?workbook=11_01.xlsx&amp;sheet=A0&amp;row=66&amp;col=29&amp;number=&amp;sourceID=13","")</f>
        <v/>
      </c>
      <c r="AD66" s="4" t="str">
        <f>HYPERLINK("http://141.218.60.56/~jnz1568/getInfo.php?workbook=11_01.xlsx&amp;sheet=A0&amp;row=66&amp;col=30&amp;number=&amp;sourceID=13","")</f>
        <v/>
      </c>
      <c r="AE66" s="4" t="str">
        <f>HYPERLINK("http://141.218.60.56/~jnz1568/getInfo.php?workbook=11_01.xlsx&amp;sheet=A0&amp;row=66&amp;col=31&amp;number=&amp;sourceID=13","")</f>
        <v/>
      </c>
    </row>
    <row r="67" spans="1:31">
      <c r="A67" s="3">
        <v>11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HYPERLINK("http://141.218.60.56/~jnz1568/getInfo.php?workbook=11_01.xlsx&amp;sheet=A0&amp;row=67&amp;col=6&amp;number=&amp;sourceID=18","")</f>
        <v/>
      </c>
      <c r="G67" s="4" t="str">
        <f>HYPERLINK("http://141.218.60.56/~jnz1568/getInfo.php?workbook=11_01.xlsx&amp;sheet=A0&amp;row=67&amp;col=7&amp;number==&amp;sourceID=11","=")</f>
        <v>=</v>
      </c>
      <c r="H67" s="4" t="str">
        <f>HYPERLINK("http://141.218.60.56/~jnz1568/getInfo.php?workbook=11_01.xlsx&amp;sheet=A0&amp;row=67&amp;col=8&amp;number=&amp;sourceID=11","")</f>
        <v/>
      </c>
      <c r="I67" s="4" t="str">
        <f>HYPERLINK("http://141.218.60.56/~jnz1568/getInfo.php?workbook=11_01.xlsx&amp;sheet=A0&amp;row=67&amp;col=9&amp;number=9163400&amp;sourceID=11","9163400")</f>
        <v>9163400</v>
      </c>
      <c r="J67" s="4" t="str">
        <f>HYPERLINK("http://141.218.60.56/~jnz1568/getInfo.php?workbook=11_01.xlsx&amp;sheet=A0&amp;row=67&amp;col=10&amp;number=&amp;sourceID=11","")</f>
        <v/>
      </c>
      <c r="K67" s="4" t="str">
        <f>HYPERLINK("http://141.218.60.56/~jnz1568/getInfo.php?workbook=11_01.xlsx&amp;sheet=A0&amp;row=67&amp;col=11&amp;number=45.62&amp;sourceID=11","45.62")</f>
        <v>45.62</v>
      </c>
      <c r="L67" s="4" t="str">
        <f>HYPERLINK("http://141.218.60.56/~jnz1568/getInfo.php?workbook=11_01.xlsx&amp;sheet=A0&amp;row=67&amp;col=12&amp;number=&amp;sourceID=11","")</f>
        <v/>
      </c>
      <c r="M67" s="4" t="str">
        <f>HYPERLINK("http://141.218.60.56/~jnz1568/getInfo.php?workbook=11_01.xlsx&amp;sheet=A0&amp;row=67&amp;col=13&amp;number=&amp;sourceID=11","")</f>
        <v/>
      </c>
      <c r="N67" s="4" t="str">
        <f>HYPERLINK("http://141.218.60.56/~jnz1568/getInfo.php?workbook=11_01.xlsx&amp;sheet=A0&amp;row=67&amp;col=14&amp;number=9163600&amp;sourceID=12","9163600")</f>
        <v>9163600</v>
      </c>
      <c r="O67" s="4" t="str">
        <f>HYPERLINK("http://141.218.60.56/~jnz1568/getInfo.php?workbook=11_01.xlsx&amp;sheet=A0&amp;row=67&amp;col=15&amp;number=&amp;sourceID=12","")</f>
        <v/>
      </c>
      <c r="P67" s="4" t="str">
        <f>HYPERLINK("http://141.218.60.56/~jnz1568/getInfo.php?workbook=11_01.xlsx&amp;sheet=A0&amp;row=67&amp;col=16&amp;number=9163600&amp;sourceID=12","9163600")</f>
        <v>9163600</v>
      </c>
      <c r="Q67" s="4" t="str">
        <f>HYPERLINK("http://141.218.60.56/~jnz1568/getInfo.php?workbook=11_01.xlsx&amp;sheet=A0&amp;row=67&amp;col=17&amp;number=&amp;sourceID=12","")</f>
        <v/>
      </c>
      <c r="R67" s="4" t="str">
        <f>HYPERLINK("http://141.218.60.56/~jnz1568/getInfo.php?workbook=11_01.xlsx&amp;sheet=A0&amp;row=67&amp;col=18&amp;number=45.622&amp;sourceID=12","45.622")</f>
        <v>45.622</v>
      </c>
      <c r="S67" s="4" t="str">
        <f>HYPERLINK("http://141.218.60.56/~jnz1568/getInfo.php?workbook=11_01.xlsx&amp;sheet=A0&amp;row=67&amp;col=19&amp;number=&amp;sourceID=12","")</f>
        <v/>
      </c>
      <c r="T67" s="4" t="str">
        <f>HYPERLINK("http://141.218.60.56/~jnz1568/getInfo.php?workbook=11_01.xlsx&amp;sheet=A0&amp;row=67&amp;col=20&amp;number=&amp;sourceID=12","")</f>
        <v/>
      </c>
      <c r="U67" s="4" t="str">
        <f>HYPERLINK("http://141.218.60.56/~jnz1568/getInfo.php?workbook=11_01.xlsx&amp;sheet=A0&amp;row=67&amp;col=21&amp;number=9164045.62&amp;sourceID=30","9164045.62")</f>
        <v>9164045.62</v>
      </c>
      <c r="V67" s="4" t="str">
        <f>HYPERLINK("http://141.218.60.56/~jnz1568/getInfo.php?workbook=11_01.xlsx&amp;sheet=A0&amp;row=67&amp;col=22&amp;number=&amp;sourceID=30","")</f>
        <v/>
      </c>
      <c r="W67" s="4" t="str">
        <f>HYPERLINK("http://141.218.60.56/~jnz1568/getInfo.php?workbook=11_01.xlsx&amp;sheet=A0&amp;row=67&amp;col=23&amp;number=9164000&amp;sourceID=30","9164000")</f>
        <v>9164000</v>
      </c>
      <c r="X67" s="4" t="str">
        <f>HYPERLINK("http://141.218.60.56/~jnz1568/getInfo.php?workbook=11_01.xlsx&amp;sheet=A0&amp;row=67&amp;col=24&amp;number=45.62&amp;sourceID=30","45.62")</f>
        <v>45.62</v>
      </c>
      <c r="Y67" s="4" t="str">
        <f>HYPERLINK("http://141.218.60.56/~jnz1568/getInfo.php?workbook=11_01.xlsx&amp;sheet=A0&amp;row=67&amp;col=25&amp;number=&amp;sourceID=30","")</f>
        <v/>
      </c>
      <c r="Z67" s="4" t="str">
        <f>HYPERLINK("http://141.218.60.56/~jnz1568/getInfo.php?workbook=11_01.xlsx&amp;sheet=A0&amp;row=67&amp;col=26&amp;number==&amp;sourceID=13","=")</f>
        <v>=</v>
      </c>
      <c r="AA67" s="4" t="str">
        <f>HYPERLINK("http://141.218.60.56/~jnz1568/getInfo.php?workbook=11_01.xlsx&amp;sheet=A0&amp;row=67&amp;col=27&amp;number=&amp;sourceID=13","")</f>
        <v/>
      </c>
      <c r="AB67" s="4" t="str">
        <f>HYPERLINK("http://141.218.60.56/~jnz1568/getInfo.php?workbook=11_01.xlsx&amp;sheet=A0&amp;row=67&amp;col=28&amp;number=8380000&amp;sourceID=13","8380000")</f>
        <v>8380000</v>
      </c>
      <c r="AC67" s="4" t="str">
        <f>HYPERLINK("http://141.218.60.56/~jnz1568/getInfo.php?workbook=11_01.xlsx&amp;sheet=A0&amp;row=67&amp;col=29&amp;number=&amp;sourceID=13","")</f>
        <v/>
      </c>
      <c r="AD67" s="4" t="str">
        <f>HYPERLINK("http://141.218.60.56/~jnz1568/getInfo.php?workbook=11_01.xlsx&amp;sheet=A0&amp;row=67&amp;col=30&amp;number=36.9&amp;sourceID=13","36.9")</f>
        <v>36.9</v>
      </c>
      <c r="AE67" s="4" t="str">
        <f>HYPERLINK("http://141.218.60.56/~jnz1568/getInfo.php?workbook=11_01.xlsx&amp;sheet=A0&amp;row=67&amp;col=31&amp;number=&amp;sourceID=13","")</f>
        <v/>
      </c>
    </row>
    <row r="68" spans="1:31">
      <c r="A68" s="3">
        <v>11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HYPERLINK("http://141.218.60.56/~jnz1568/getInfo.php?workbook=11_01.xlsx&amp;sheet=A0&amp;row=68&amp;col=6&amp;number=&amp;sourceID=18","")</f>
        <v/>
      </c>
      <c r="G68" s="4" t="str">
        <f>HYPERLINK("http://141.218.60.56/~jnz1568/getInfo.php?workbook=11_01.xlsx&amp;sheet=A0&amp;row=68&amp;col=7&amp;number==&amp;sourceID=11","=")</f>
        <v>=</v>
      </c>
      <c r="H68" s="4" t="str">
        <f>HYPERLINK("http://141.218.60.56/~jnz1568/getInfo.php?workbook=11_01.xlsx&amp;sheet=A0&amp;row=68&amp;col=8&amp;number=141600000000&amp;sourceID=11","141600000000")</f>
        <v>141600000000</v>
      </c>
      <c r="I68" s="4" t="str">
        <f>HYPERLINK("http://141.218.60.56/~jnz1568/getInfo.php?workbook=11_01.xlsx&amp;sheet=A0&amp;row=68&amp;col=9&amp;number=&amp;sourceID=11","")</f>
        <v/>
      </c>
      <c r="J68" s="4" t="str">
        <f>HYPERLINK("http://141.218.60.56/~jnz1568/getInfo.php?workbook=11_01.xlsx&amp;sheet=A0&amp;row=68&amp;col=10&amp;number=&amp;sourceID=11","")</f>
        <v/>
      </c>
      <c r="K68" s="4" t="str">
        <f>HYPERLINK("http://141.218.60.56/~jnz1568/getInfo.php?workbook=11_01.xlsx&amp;sheet=A0&amp;row=68&amp;col=11&amp;number=&amp;sourceID=11","")</f>
        <v/>
      </c>
      <c r="L68" s="4" t="str">
        <f>HYPERLINK("http://141.218.60.56/~jnz1568/getInfo.php?workbook=11_01.xlsx&amp;sheet=A0&amp;row=68&amp;col=12&amp;number=9735.1&amp;sourceID=11","9735.1")</f>
        <v>9735.1</v>
      </c>
      <c r="M68" s="4" t="str">
        <f>HYPERLINK("http://141.218.60.56/~jnz1568/getInfo.php?workbook=11_01.xlsx&amp;sheet=A0&amp;row=68&amp;col=13&amp;number=&amp;sourceID=11","")</f>
        <v/>
      </c>
      <c r="N68" s="4" t="str">
        <f>HYPERLINK("http://141.218.60.56/~jnz1568/getInfo.php?workbook=11_01.xlsx&amp;sheet=A0&amp;row=68&amp;col=14&amp;number=141600000000&amp;sourceID=12","141600000000")</f>
        <v>141600000000</v>
      </c>
      <c r="O68" s="4" t="str">
        <f>HYPERLINK("http://141.218.60.56/~jnz1568/getInfo.php?workbook=11_01.xlsx&amp;sheet=A0&amp;row=68&amp;col=15&amp;number=141600000000&amp;sourceID=12","141600000000")</f>
        <v>141600000000</v>
      </c>
      <c r="P68" s="4" t="str">
        <f>HYPERLINK("http://141.218.60.56/~jnz1568/getInfo.php?workbook=11_01.xlsx&amp;sheet=A0&amp;row=68&amp;col=16&amp;number=&amp;sourceID=12","")</f>
        <v/>
      </c>
      <c r="Q68" s="4" t="str">
        <f>HYPERLINK("http://141.218.60.56/~jnz1568/getInfo.php?workbook=11_01.xlsx&amp;sheet=A0&amp;row=68&amp;col=17&amp;number=&amp;sourceID=12","")</f>
        <v/>
      </c>
      <c r="R68" s="4" t="str">
        <f>HYPERLINK("http://141.218.60.56/~jnz1568/getInfo.php?workbook=11_01.xlsx&amp;sheet=A0&amp;row=68&amp;col=18&amp;number=&amp;sourceID=12","")</f>
        <v/>
      </c>
      <c r="S68" s="4" t="str">
        <f>HYPERLINK("http://141.218.60.56/~jnz1568/getInfo.php?workbook=11_01.xlsx&amp;sheet=A0&amp;row=68&amp;col=19&amp;number=9735.3&amp;sourceID=12","9735.3")</f>
        <v>9735.3</v>
      </c>
      <c r="T68" s="4" t="str">
        <f>HYPERLINK("http://141.218.60.56/~jnz1568/getInfo.php?workbook=11_01.xlsx&amp;sheet=A0&amp;row=68&amp;col=20&amp;number=&amp;sourceID=12","")</f>
        <v/>
      </c>
      <c r="U68" s="4" t="str">
        <f>HYPERLINK("http://141.218.60.56/~jnz1568/getInfo.php?workbook=11_01.xlsx&amp;sheet=A0&amp;row=68&amp;col=21&amp;number=141600009735&amp;sourceID=30","141600009735")</f>
        <v>141600009735</v>
      </c>
      <c r="V68" s="4" t="str">
        <f>HYPERLINK("http://141.218.60.56/~jnz1568/getInfo.php?workbook=11_01.xlsx&amp;sheet=A0&amp;row=68&amp;col=22&amp;number=141600000000&amp;sourceID=30","141600000000")</f>
        <v>141600000000</v>
      </c>
      <c r="W68" s="4" t="str">
        <f>HYPERLINK("http://141.218.60.56/~jnz1568/getInfo.php?workbook=11_01.xlsx&amp;sheet=A0&amp;row=68&amp;col=23&amp;number=&amp;sourceID=30","")</f>
        <v/>
      </c>
      <c r="X68" s="4" t="str">
        <f>HYPERLINK("http://141.218.60.56/~jnz1568/getInfo.php?workbook=11_01.xlsx&amp;sheet=A0&amp;row=68&amp;col=24&amp;number=&amp;sourceID=30","")</f>
        <v/>
      </c>
      <c r="Y68" s="4" t="str">
        <f>HYPERLINK("http://141.218.60.56/~jnz1568/getInfo.php?workbook=11_01.xlsx&amp;sheet=A0&amp;row=68&amp;col=25&amp;number=9735&amp;sourceID=30","9735")</f>
        <v>9735</v>
      </c>
      <c r="Z68" s="4" t="str">
        <f>HYPERLINK("http://141.218.60.56/~jnz1568/getInfo.php?workbook=11_01.xlsx&amp;sheet=A0&amp;row=68&amp;col=26&amp;number==&amp;sourceID=13","=")</f>
        <v>=</v>
      </c>
      <c r="AA68" s="4" t="str">
        <f>HYPERLINK("http://141.218.60.56/~jnz1568/getInfo.php?workbook=11_01.xlsx&amp;sheet=A0&amp;row=68&amp;col=27&amp;number=139000000000&amp;sourceID=13","139000000000")</f>
        <v>139000000000</v>
      </c>
      <c r="AB68" s="4" t="str">
        <f>HYPERLINK("http://141.218.60.56/~jnz1568/getInfo.php?workbook=11_01.xlsx&amp;sheet=A0&amp;row=68&amp;col=28&amp;number=&amp;sourceID=13","")</f>
        <v/>
      </c>
      <c r="AC68" s="4" t="str">
        <f>HYPERLINK("http://141.218.60.56/~jnz1568/getInfo.php?workbook=11_01.xlsx&amp;sheet=A0&amp;row=68&amp;col=29&amp;number=&amp;sourceID=13","")</f>
        <v/>
      </c>
      <c r="AD68" s="4" t="str">
        <f>HYPERLINK("http://141.218.60.56/~jnz1568/getInfo.php?workbook=11_01.xlsx&amp;sheet=A0&amp;row=68&amp;col=30&amp;number=&amp;sourceID=13","")</f>
        <v/>
      </c>
      <c r="AE68" s="4" t="str">
        <f>HYPERLINK("http://141.218.60.56/~jnz1568/getInfo.php?workbook=11_01.xlsx&amp;sheet=A0&amp;row=68&amp;col=31&amp;number=&amp;sourceID=13","")</f>
        <v/>
      </c>
    </row>
    <row r="69" spans="1:31">
      <c r="A69" s="3">
        <v>11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HYPERLINK("http://141.218.60.56/~jnz1568/getInfo.php?workbook=11_01.xlsx&amp;sheet=A0&amp;row=69&amp;col=6&amp;number=&amp;sourceID=18","")</f>
        <v/>
      </c>
      <c r="G69" s="4" t="str">
        <f>HYPERLINK("http://141.218.60.56/~jnz1568/getInfo.php?workbook=11_01.xlsx&amp;sheet=A0&amp;row=69&amp;col=7&amp;number==&amp;sourceID=11","=")</f>
        <v>=</v>
      </c>
      <c r="H69" s="4" t="str">
        <f>HYPERLINK("http://141.218.60.56/~jnz1568/getInfo.php?workbook=11_01.xlsx&amp;sheet=A0&amp;row=69&amp;col=8&amp;number=&amp;sourceID=11","")</f>
        <v/>
      </c>
      <c r="I69" s="4" t="str">
        <f>HYPERLINK("http://141.218.60.56/~jnz1568/getInfo.php?workbook=11_01.xlsx&amp;sheet=A0&amp;row=69&amp;col=9&amp;number=9114400&amp;sourceID=11","9114400")</f>
        <v>9114400</v>
      </c>
      <c r="J69" s="4" t="str">
        <f>HYPERLINK("http://141.218.60.56/~jnz1568/getInfo.php?workbook=11_01.xlsx&amp;sheet=A0&amp;row=69&amp;col=10&amp;number=&amp;sourceID=11","")</f>
        <v/>
      </c>
      <c r="K69" s="4" t="str">
        <f>HYPERLINK("http://141.218.60.56/~jnz1568/getInfo.php?workbook=11_01.xlsx&amp;sheet=A0&amp;row=69&amp;col=11&amp;number=72.008&amp;sourceID=11","72.008")</f>
        <v>72.008</v>
      </c>
      <c r="L69" s="4" t="str">
        <f>HYPERLINK("http://141.218.60.56/~jnz1568/getInfo.php?workbook=11_01.xlsx&amp;sheet=A0&amp;row=69&amp;col=12&amp;number=&amp;sourceID=11","")</f>
        <v/>
      </c>
      <c r="M69" s="4" t="str">
        <f>HYPERLINK("http://141.218.60.56/~jnz1568/getInfo.php?workbook=11_01.xlsx&amp;sheet=A0&amp;row=69&amp;col=13&amp;number=1.3312&amp;sourceID=11","1.3312")</f>
        <v>1.3312</v>
      </c>
      <c r="N69" s="4" t="str">
        <f>HYPERLINK("http://141.218.60.56/~jnz1568/getInfo.php?workbook=11_01.xlsx&amp;sheet=A0&amp;row=69&amp;col=14&amp;number=9114700&amp;sourceID=12","9114700")</f>
        <v>9114700</v>
      </c>
      <c r="O69" s="4" t="str">
        <f>HYPERLINK("http://141.218.60.56/~jnz1568/getInfo.php?workbook=11_01.xlsx&amp;sheet=A0&amp;row=69&amp;col=15&amp;number=&amp;sourceID=12","")</f>
        <v/>
      </c>
      <c r="P69" s="4" t="str">
        <f>HYPERLINK("http://141.218.60.56/~jnz1568/getInfo.php?workbook=11_01.xlsx&amp;sheet=A0&amp;row=69&amp;col=16&amp;number=9114600&amp;sourceID=12","9114600")</f>
        <v>9114600</v>
      </c>
      <c r="Q69" s="4" t="str">
        <f>HYPERLINK("http://141.218.60.56/~jnz1568/getInfo.php?workbook=11_01.xlsx&amp;sheet=A0&amp;row=69&amp;col=17&amp;number=&amp;sourceID=12","")</f>
        <v/>
      </c>
      <c r="R69" s="4" t="str">
        <f>HYPERLINK("http://141.218.60.56/~jnz1568/getInfo.php?workbook=11_01.xlsx&amp;sheet=A0&amp;row=69&amp;col=18&amp;number=72.009&amp;sourceID=12","72.009")</f>
        <v>72.009</v>
      </c>
      <c r="S69" s="4" t="str">
        <f>HYPERLINK("http://141.218.60.56/~jnz1568/getInfo.php?workbook=11_01.xlsx&amp;sheet=A0&amp;row=69&amp;col=19&amp;number=&amp;sourceID=12","")</f>
        <v/>
      </c>
      <c r="T69" s="4" t="str">
        <f>HYPERLINK("http://141.218.60.56/~jnz1568/getInfo.php?workbook=11_01.xlsx&amp;sheet=A0&amp;row=69&amp;col=20&amp;number=1.3312&amp;sourceID=12","1.3312")</f>
        <v>1.3312</v>
      </c>
      <c r="U69" s="4" t="str">
        <f>HYPERLINK("http://141.218.60.56/~jnz1568/getInfo.php?workbook=11_01.xlsx&amp;sheet=A0&amp;row=69&amp;col=21&amp;number=9115072.01&amp;sourceID=30","9115072.01")</f>
        <v>9115072.01</v>
      </c>
      <c r="V69" s="4" t="str">
        <f>HYPERLINK("http://141.218.60.56/~jnz1568/getInfo.php?workbook=11_01.xlsx&amp;sheet=A0&amp;row=69&amp;col=22&amp;number=&amp;sourceID=30","")</f>
        <v/>
      </c>
      <c r="W69" s="4" t="str">
        <f>HYPERLINK("http://141.218.60.56/~jnz1568/getInfo.php?workbook=11_01.xlsx&amp;sheet=A0&amp;row=69&amp;col=23&amp;number=9115000&amp;sourceID=30","9115000")</f>
        <v>9115000</v>
      </c>
      <c r="X69" s="4" t="str">
        <f>HYPERLINK("http://141.218.60.56/~jnz1568/getInfo.php?workbook=11_01.xlsx&amp;sheet=A0&amp;row=69&amp;col=24&amp;number=72.01&amp;sourceID=30","72.01")</f>
        <v>72.01</v>
      </c>
      <c r="Y69" s="4" t="str">
        <f>HYPERLINK("http://141.218.60.56/~jnz1568/getInfo.php?workbook=11_01.xlsx&amp;sheet=A0&amp;row=69&amp;col=25&amp;number=&amp;sourceID=30","")</f>
        <v/>
      </c>
      <c r="Z69" s="4" t="str">
        <f>HYPERLINK("http://141.218.60.56/~jnz1568/getInfo.php?workbook=11_01.xlsx&amp;sheet=A0&amp;row=69&amp;col=26&amp;number==&amp;sourceID=13","=")</f>
        <v>=</v>
      </c>
      <c r="AA69" s="4" t="str">
        <f>HYPERLINK("http://141.218.60.56/~jnz1568/getInfo.php?workbook=11_01.xlsx&amp;sheet=A0&amp;row=69&amp;col=27&amp;number=&amp;sourceID=13","")</f>
        <v/>
      </c>
      <c r="AB69" s="4" t="str">
        <f>HYPERLINK("http://141.218.60.56/~jnz1568/getInfo.php?workbook=11_01.xlsx&amp;sheet=A0&amp;row=69&amp;col=28&amp;number=8860000&amp;sourceID=13","8860000")</f>
        <v>8860000</v>
      </c>
      <c r="AC69" s="4" t="str">
        <f>HYPERLINK("http://141.218.60.56/~jnz1568/getInfo.php?workbook=11_01.xlsx&amp;sheet=A0&amp;row=69&amp;col=29&amp;number=&amp;sourceID=13","")</f>
        <v/>
      </c>
      <c r="AD69" s="4" t="str">
        <f>HYPERLINK("http://141.218.60.56/~jnz1568/getInfo.php?workbook=11_01.xlsx&amp;sheet=A0&amp;row=69&amp;col=30&amp;number=72.5&amp;sourceID=13","72.5")</f>
        <v>72.5</v>
      </c>
      <c r="AE69" s="4" t="str">
        <f>HYPERLINK("http://141.218.60.56/~jnz1568/getInfo.php?workbook=11_01.xlsx&amp;sheet=A0&amp;row=69&amp;col=31&amp;number=&amp;sourceID=13","")</f>
        <v/>
      </c>
    </row>
    <row r="70" spans="1:31">
      <c r="A70" s="3">
        <v>11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HYPERLINK("http://141.218.60.56/~jnz1568/getInfo.php?workbook=11_01.xlsx&amp;sheet=A0&amp;row=70&amp;col=6&amp;number=&amp;sourceID=18","")</f>
        <v/>
      </c>
      <c r="G70" s="4" t="str">
        <f>HYPERLINK("http://141.218.60.56/~jnz1568/getInfo.php?workbook=11_01.xlsx&amp;sheet=A0&amp;row=70&amp;col=7&amp;number==SUM(H70:M70)&amp;sourceID=11","=SUM(H70:M70)")</f>
        <v>=SUM(H70:M70)</v>
      </c>
      <c r="H70" s="4" t="str">
        <f>HYPERLINK("http://141.218.60.56/~jnz1568/getInfo.php?workbook=11_01.xlsx&amp;sheet=A0&amp;row=70&amp;col=8&amp;number=&amp;sourceID=11","")</f>
        <v/>
      </c>
      <c r="I70" s="4" t="str">
        <f>HYPERLINK("http://141.218.60.56/~jnz1568/getInfo.php?workbook=11_01.xlsx&amp;sheet=A0&amp;row=70&amp;col=9&amp;number=2266200&amp;sourceID=11","2266200")</f>
        <v>2266200</v>
      </c>
      <c r="J70" s="4" t="str">
        <f>HYPERLINK("http://141.218.60.56/~jnz1568/getInfo.php?workbook=11_01.xlsx&amp;sheet=A0&amp;row=70&amp;col=10&amp;number=&amp;sourceID=11","")</f>
        <v/>
      </c>
      <c r="K70" s="4" t="str">
        <f>HYPERLINK("http://141.218.60.56/~jnz1568/getInfo.php?workbook=11_01.xlsx&amp;sheet=A0&amp;row=70&amp;col=11&amp;number=5.0374&amp;sourceID=11","5.0374")</f>
        <v>5.0374</v>
      </c>
      <c r="L70" s="4" t="str">
        <f>HYPERLINK("http://141.218.60.56/~jnz1568/getInfo.php?workbook=11_01.xlsx&amp;sheet=A0&amp;row=70&amp;col=12&amp;number=&amp;sourceID=11","")</f>
        <v/>
      </c>
      <c r="M70" s="4" t="str">
        <f>HYPERLINK("http://141.218.60.56/~jnz1568/getInfo.php?workbook=11_01.xlsx&amp;sheet=A0&amp;row=70&amp;col=13&amp;number=&amp;sourceID=11","")</f>
        <v/>
      </c>
      <c r="N70" s="4" t="str">
        <f>HYPERLINK("http://141.218.60.56/~jnz1568/getInfo.php?workbook=11_01.xlsx&amp;sheet=A0&amp;row=70&amp;col=14&amp;number=2266200&amp;sourceID=12","2266200")</f>
        <v>2266200</v>
      </c>
      <c r="O70" s="4" t="str">
        <f>HYPERLINK("http://141.218.60.56/~jnz1568/getInfo.php?workbook=11_01.xlsx&amp;sheet=A0&amp;row=70&amp;col=15&amp;number=&amp;sourceID=12","")</f>
        <v/>
      </c>
      <c r="P70" s="4" t="str">
        <f>HYPERLINK("http://141.218.60.56/~jnz1568/getInfo.php?workbook=11_01.xlsx&amp;sheet=A0&amp;row=70&amp;col=16&amp;number=2266200&amp;sourceID=12","2266200")</f>
        <v>2266200</v>
      </c>
      <c r="Q70" s="4" t="str">
        <f>HYPERLINK("http://141.218.60.56/~jnz1568/getInfo.php?workbook=11_01.xlsx&amp;sheet=A0&amp;row=70&amp;col=17&amp;number=&amp;sourceID=12","")</f>
        <v/>
      </c>
      <c r="R70" s="4" t="str">
        <f>HYPERLINK("http://141.218.60.56/~jnz1568/getInfo.php?workbook=11_01.xlsx&amp;sheet=A0&amp;row=70&amp;col=18&amp;number=5.0375&amp;sourceID=12","5.0375")</f>
        <v>5.0375</v>
      </c>
      <c r="S70" s="4" t="str">
        <f>HYPERLINK("http://141.218.60.56/~jnz1568/getInfo.php?workbook=11_01.xlsx&amp;sheet=A0&amp;row=70&amp;col=19&amp;number=&amp;sourceID=12","")</f>
        <v/>
      </c>
      <c r="T70" s="4" t="str">
        <f>HYPERLINK("http://141.218.60.56/~jnz1568/getInfo.php?workbook=11_01.xlsx&amp;sheet=A0&amp;row=70&amp;col=20&amp;number=&amp;sourceID=12","")</f>
        <v/>
      </c>
      <c r="U70" s="4" t="str">
        <f>HYPERLINK("http://141.218.60.56/~jnz1568/getInfo.php?workbook=11_01.xlsx&amp;sheet=A0&amp;row=70&amp;col=21&amp;number=2266005.038&amp;sourceID=30","2266005.038")</f>
        <v>2266005.038</v>
      </c>
      <c r="V70" s="4" t="str">
        <f>HYPERLINK("http://141.218.60.56/~jnz1568/getInfo.php?workbook=11_01.xlsx&amp;sheet=A0&amp;row=70&amp;col=22&amp;number=&amp;sourceID=30","")</f>
        <v/>
      </c>
      <c r="W70" s="4" t="str">
        <f>HYPERLINK("http://141.218.60.56/~jnz1568/getInfo.php?workbook=11_01.xlsx&amp;sheet=A0&amp;row=70&amp;col=23&amp;number=2266000&amp;sourceID=30","2266000")</f>
        <v>2266000</v>
      </c>
      <c r="X70" s="4" t="str">
        <f>HYPERLINK("http://141.218.60.56/~jnz1568/getInfo.php?workbook=11_01.xlsx&amp;sheet=A0&amp;row=70&amp;col=24&amp;number=5.038&amp;sourceID=30","5.038")</f>
        <v>5.038</v>
      </c>
      <c r="Y70" s="4" t="str">
        <f>HYPERLINK("http://141.218.60.56/~jnz1568/getInfo.php?workbook=11_01.xlsx&amp;sheet=A0&amp;row=70&amp;col=25&amp;number=&amp;sourceID=30","")</f>
        <v/>
      </c>
      <c r="Z70" s="4" t="str">
        <f>HYPERLINK("http://141.218.60.56/~jnz1568/getInfo.php?workbook=11_01.xlsx&amp;sheet=A0&amp;row=70&amp;col=26&amp;number==&amp;sourceID=13","=")</f>
        <v>=</v>
      </c>
      <c r="AA70" s="4" t="str">
        <f>HYPERLINK("http://141.218.60.56/~jnz1568/getInfo.php?workbook=11_01.xlsx&amp;sheet=A0&amp;row=70&amp;col=27&amp;number=&amp;sourceID=13","")</f>
        <v/>
      </c>
      <c r="AB70" s="4" t="str">
        <f>HYPERLINK("http://141.218.60.56/~jnz1568/getInfo.php?workbook=11_01.xlsx&amp;sheet=A0&amp;row=70&amp;col=28&amp;number=2240000&amp;sourceID=13","2240000")</f>
        <v>2240000</v>
      </c>
      <c r="AC70" s="4" t="str">
        <f>HYPERLINK("http://141.218.60.56/~jnz1568/getInfo.php?workbook=11_01.xlsx&amp;sheet=A0&amp;row=70&amp;col=29&amp;number=&amp;sourceID=13","")</f>
        <v/>
      </c>
      <c r="AD70" s="4" t="str">
        <f>HYPERLINK("http://141.218.60.56/~jnz1568/getInfo.php?workbook=11_01.xlsx&amp;sheet=A0&amp;row=70&amp;col=30&amp;number=4.72&amp;sourceID=13","4.72")</f>
        <v>4.72</v>
      </c>
      <c r="AE70" s="4" t="str">
        <f>HYPERLINK("http://141.218.60.56/~jnz1568/getInfo.php?workbook=11_01.xlsx&amp;sheet=A0&amp;row=70&amp;col=31&amp;number=&amp;sourceID=13","")</f>
        <v/>
      </c>
    </row>
    <row r="71" spans="1:31">
      <c r="A71" s="3">
        <v>11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HYPERLINK("http://141.218.60.56/~jnz1568/getInfo.php?workbook=11_01.xlsx&amp;sheet=A0&amp;row=71&amp;col=6&amp;number=&amp;sourceID=18","")</f>
        <v/>
      </c>
      <c r="G71" s="4" t="str">
        <f>HYPERLINK("http://141.218.60.56/~jnz1568/getInfo.php?workbook=11_01.xlsx&amp;sheet=A0&amp;row=71&amp;col=7&amp;number==&amp;sourceID=11","=")</f>
        <v>=</v>
      </c>
      <c r="H71" s="4" t="str">
        <f>HYPERLINK("http://141.218.60.56/~jnz1568/getInfo.php?workbook=11_01.xlsx&amp;sheet=A0&amp;row=71&amp;col=8&amp;number=44753000000&amp;sourceID=11","44753000000")</f>
        <v>44753000000</v>
      </c>
      <c r="I71" s="4" t="str">
        <f>HYPERLINK("http://141.218.60.56/~jnz1568/getInfo.php?workbook=11_01.xlsx&amp;sheet=A0&amp;row=71&amp;col=9&amp;number=&amp;sourceID=11","")</f>
        <v/>
      </c>
      <c r="J71" s="4" t="str">
        <f>HYPERLINK("http://141.218.60.56/~jnz1568/getInfo.php?workbook=11_01.xlsx&amp;sheet=A0&amp;row=71&amp;col=10&amp;number=&amp;sourceID=11","")</f>
        <v/>
      </c>
      <c r="K71" s="4" t="str">
        <f>HYPERLINK("http://141.218.60.56/~jnz1568/getInfo.php?workbook=11_01.xlsx&amp;sheet=A0&amp;row=71&amp;col=11&amp;number=&amp;sourceID=11","")</f>
        <v/>
      </c>
      <c r="L71" s="4" t="str">
        <f>HYPERLINK("http://141.218.60.56/~jnz1568/getInfo.php?workbook=11_01.xlsx&amp;sheet=A0&amp;row=71&amp;col=12&amp;number=207.09&amp;sourceID=11","207.09")</f>
        <v>207.09</v>
      </c>
      <c r="M71" s="4" t="str">
        <f>HYPERLINK("http://141.218.60.56/~jnz1568/getInfo.php?workbook=11_01.xlsx&amp;sheet=A0&amp;row=71&amp;col=13&amp;number=&amp;sourceID=11","")</f>
        <v/>
      </c>
      <c r="N71" s="4" t="str">
        <f>HYPERLINK("http://141.218.60.56/~jnz1568/getInfo.php?workbook=11_01.xlsx&amp;sheet=A0&amp;row=71&amp;col=14&amp;number=44754000000&amp;sourceID=12","44754000000")</f>
        <v>44754000000</v>
      </c>
      <c r="O71" s="4" t="str">
        <f>HYPERLINK("http://141.218.60.56/~jnz1568/getInfo.php?workbook=11_01.xlsx&amp;sheet=A0&amp;row=71&amp;col=15&amp;number=44754000000&amp;sourceID=12","44754000000")</f>
        <v>44754000000</v>
      </c>
      <c r="P71" s="4" t="str">
        <f>HYPERLINK("http://141.218.60.56/~jnz1568/getInfo.php?workbook=11_01.xlsx&amp;sheet=A0&amp;row=71&amp;col=16&amp;number=&amp;sourceID=12","")</f>
        <v/>
      </c>
      <c r="Q71" s="4" t="str">
        <f>HYPERLINK("http://141.218.60.56/~jnz1568/getInfo.php?workbook=11_01.xlsx&amp;sheet=A0&amp;row=71&amp;col=17&amp;number=&amp;sourceID=12","")</f>
        <v/>
      </c>
      <c r="R71" s="4" t="str">
        <f>HYPERLINK("http://141.218.60.56/~jnz1568/getInfo.php?workbook=11_01.xlsx&amp;sheet=A0&amp;row=71&amp;col=18&amp;number=&amp;sourceID=12","")</f>
        <v/>
      </c>
      <c r="S71" s="4" t="str">
        <f>HYPERLINK("http://141.218.60.56/~jnz1568/getInfo.php?workbook=11_01.xlsx&amp;sheet=A0&amp;row=71&amp;col=19&amp;number=207.1&amp;sourceID=12","207.1")</f>
        <v>207.1</v>
      </c>
      <c r="T71" s="4" t="str">
        <f>HYPERLINK("http://141.218.60.56/~jnz1568/getInfo.php?workbook=11_01.xlsx&amp;sheet=A0&amp;row=71&amp;col=20&amp;number=&amp;sourceID=12","")</f>
        <v/>
      </c>
      <c r="U71" s="4" t="str">
        <f>HYPERLINK("http://141.218.60.56/~jnz1568/getInfo.php?workbook=11_01.xlsx&amp;sheet=A0&amp;row=71&amp;col=21&amp;number=44750000207.1&amp;sourceID=30","44750000207.1")</f>
        <v>44750000207.1</v>
      </c>
      <c r="V71" s="4" t="str">
        <f>HYPERLINK("http://141.218.60.56/~jnz1568/getInfo.php?workbook=11_01.xlsx&amp;sheet=A0&amp;row=71&amp;col=22&amp;number=44750000000&amp;sourceID=30","44750000000")</f>
        <v>44750000000</v>
      </c>
      <c r="W71" s="4" t="str">
        <f>HYPERLINK("http://141.218.60.56/~jnz1568/getInfo.php?workbook=11_01.xlsx&amp;sheet=A0&amp;row=71&amp;col=23&amp;number=&amp;sourceID=30","")</f>
        <v/>
      </c>
      <c r="X71" s="4" t="str">
        <f>HYPERLINK("http://141.218.60.56/~jnz1568/getInfo.php?workbook=11_01.xlsx&amp;sheet=A0&amp;row=71&amp;col=24&amp;number=&amp;sourceID=30","")</f>
        <v/>
      </c>
      <c r="Y71" s="4" t="str">
        <f>HYPERLINK("http://141.218.60.56/~jnz1568/getInfo.php?workbook=11_01.xlsx&amp;sheet=A0&amp;row=71&amp;col=25&amp;number=207.1&amp;sourceID=30","207.1")</f>
        <v>207.1</v>
      </c>
      <c r="Z71" s="4" t="str">
        <f>HYPERLINK("http://141.218.60.56/~jnz1568/getInfo.php?workbook=11_01.xlsx&amp;sheet=A0&amp;row=71&amp;col=26&amp;number==&amp;sourceID=13","=")</f>
        <v>=</v>
      </c>
      <c r="AA71" s="4" t="str">
        <f>HYPERLINK("http://141.218.60.56/~jnz1568/getInfo.php?workbook=11_01.xlsx&amp;sheet=A0&amp;row=71&amp;col=27&amp;number=44500000000&amp;sourceID=13","44500000000")</f>
        <v>44500000000</v>
      </c>
      <c r="AB71" s="4" t="str">
        <f>HYPERLINK("http://141.218.60.56/~jnz1568/getInfo.php?workbook=11_01.xlsx&amp;sheet=A0&amp;row=71&amp;col=28&amp;number=&amp;sourceID=13","")</f>
        <v/>
      </c>
      <c r="AC71" s="4" t="str">
        <f>HYPERLINK("http://141.218.60.56/~jnz1568/getInfo.php?workbook=11_01.xlsx&amp;sheet=A0&amp;row=71&amp;col=29&amp;number=&amp;sourceID=13","")</f>
        <v/>
      </c>
      <c r="AD71" s="4" t="str">
        <f>HYPERLINK("http://141.218.60.56/~jnz1568/getInfo.php?workbook=11_01.xlsx&amp;sheet=A0&amp;row=71&amp;col=30&amp;number=&amp;sourceID=13","")</f>
        <v/>
      </c>
      <c r="AE71" s="4" t="str">
        <f>HYPERLINK("http://141.218.60.56/~jnz1568/getInfo.php?workbook=11_01.xlsx&amp;sheet=A0&amp;row=71&amp;col=31&amp;number=&amp;sourceID=13","")</f>
        <v/>
      </c>
    </row>
    <row r="72" spans="1:31">
      <c r="A72" s="3">
        <v>11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HYPERLINK("http://141.218.60.56/~jnz1568/getInfo.php?workbook=11_01.xlsx&amp;sheet=A0&amp;row=72&amp;col=6&amp;number=&amp;sourceID=18","")</f>
        <v/>
      </c>
      <c r="G72" s="4" t="str">
        <f>HYPERLINK("http://141.218.60.56/~jnz1568/getInfo.php?workbook=11_01.xlsx&amp;sheet=A0&amp;row=72&amp;col=7&amp;number==&amp;sourceID=11","=")</f>
        <v>=</v>
      </c>
      <c r="H72" s="4" t="str">
        <f>HYPERLINK("http://141.218.60.56/~jnz1568/getInfo.php?workbook=11_01.xlsx&amp;sheet=A0&amp;row=72&amp;col=8&amp;number=509760000&amp;sourceID=11","509760000")</f>
        <v>509760000</v>
      </c>
      <c r="I72" s="4" t="str">
        <f>HYPERLINK("http://141.218.60.56/~jnz1568/getInfo.php?workbook=11_01.xlsx&amp;sheet=A0&amp;row=72&amp;col=9&amp;number=&amp;sourceID=11","")</f>
        <v/>
      </c>
      <c r="J72" s="4" t="str">
        <f>HYPERLINK("http://141.218.60.56/~jnz1568/getInfo.php?workbook=11_01.xlsx&amp;sheet=A0&amp;row=72&amp;col=10&amp;number=60.446&amp;sourceID=11","60.446")</f>
        <v>60.446</v>
      </c>
      <c r="K72" s="4" t="str">
        <f>HYPERLINK("http://141.218.60.56/~jnz1568/getInfo.php?workbook=11_01.xlsx&amp;sheet=A0&amp;row=72&amp;col=11&amp;number=&amp;sourceID=11","")</f>
        <v/>
      </c>
      <c r="L72" s="4" t="str">
        <f>HYPERLINK("http://141.218.60.56/~jnz1568/getInfo.php?workbook=11_01.xlsx&amp;sheet=A0&amp;row=72&amp;col=12&amp;number=&amp;sourceID=11","")</f>
        <v/>
      </c>
      <c r="M72" s="4" t="str">
        <f>HYPERLINK("http://141.218.60.56/~jnz1568/getInfo.php?workbook=11_01.xlsx&amp;sheet=A0&amp;row=72&amp;col=13&amp;number=&amp;sourceID=11","")</f>
        <v/>
      </c>
      <c r="N72" s="4" t="str">
        <f>HYPERLINK("http://141.218.60.56/~jnz1568/getInfo.php?workbook=11_01.xlsx&amp;sheet=A0&amp;row=72&amp;col=14&amp;number=509770000&amp;sourceID=12","509770000")</f>
        <v>509770000</v>
      </c>
      <c r="O72" s="4" t="str">
        <f>HYPERLINK("http://141.218.60.56/~jnz1568/getInfo.php?workbook=11_01.xlsx&amp;sheet=A0&amp;row=72&amp;col=15&amp;number=509770000&amp;sourceID=12","509770000")</f>
        <v>509770000</v>
      </c>
      <c r="P72" s="4" t="str">
        <f>HYPERLINK("http://141.218.60.56/~jnz1568/getInfo.php?workbook=11_01.xlsx&amp;sheet=A0&amp;row=72&amp;col=16&amp;number=&amp;sourceID=12","")</f>
        <v/>
      </c>
      <c r="Q72" s="4" t="str">
        <f>HYPERLINK("http://141.218.60.56/~jnz1568/getInfo.php?workbook=11_01.xlsx&amp;sheet=A0&amp;row=72&amp;col=17&amp;number=60.448&amp;sourceID=12","60.448")</f>
        <v>60.448</v>
      </c>
      <c r="R72" s="4" t="str">
        <f>HYPERLINK("http://141.218.60.56/~jnz1568/getInfo.php?workbook=11_01.xlsx&amp;sheet=A0&amp;row=72&amp;col=18&amp;number=&amp;sourceID=12","")</f>
        <v/>
      </c>
      <c r="S72" s="4" t="str">
        <f>HYPERLINK("http://141.218.60.56/~jnz1568/getInfo.php?workbook=11_01.xlsx&amp;sheet=A0&amp;row=72&amp;col=19&amp;number=&amp;sourceID=12","")</f>
        <v/>
      </c>
      <c r="T72" s="4" t="str">
        <f>HYPERLINK("http://141.218.60.56/~jnz1568/getInfo.php?workbook=11_01.xlsx&amp;sheet=A0&amp;row=72&amp;col=20&amp;number=&amp;sourceID=12","")</f>
        <v/>
      </c>
      <c r="U72" s="4" t="str">
        <f>HYPERLINK("http://141.218.60.56/~jnz1568/getInfo.php?workbook=11_01.xlsx&amp;sheet=A0&amp;row=72&amp;col=21&amp;number=509800000&amp;sourceID=30","509800000")</f>
        <v>509800000</v>
      </c>
      <c r="V72" s="4" t="str">
        <f>HYPERLINK("http://141.218.60.56/~jnz1568/getInfo.php?workbook=11_01.xlsx&amp;sheet=A0&amp;row=72&amp;col=22&amp;number=509800000&amp;sourceID=30","509800000")</f>
        <v>509800000</v>
      </c>
      <c r="W72" s="4" t="str">
        <f>HYPERLINK("http://141.218.60.56/~jnz1568/getInfo.php?workbook=11_01.xlsx&amp;sheet=A0&amp;row=72&amp;col=23&amp;number=&amp;sourceID=30","")</f>
        <v/>
      </c>
      <c r="X72" s="4" t="str">
        <f>HYPERLINK("http://141.218.60.56/~jnz1568/getInfo.php?workbook=11_01.xlsx&amp;sheet=A0&amp;row=72&amp;col=24&amp;number=&amp;sourceID=30","")</f>
        <v/>
      </c>
      <c r="Y72" s="4" t="str">
        <f>HYPERLINK("http://141.218.60.56/~jnz1568/getInfo.php?workbook=11_01.xlsx&amp;sheet=A0&amp;row=72&amp;col=25&amp;number=&amp;sourceID=30","")</f>
        <v/>
      </c>
      <c r="Z72" s="4" t="str">
        <f>HYPERLINK("http://141.218.60.56/~jnz1568/getInfo.php?workbook=11_01.xlsx&amp;sheet=A0&amp;row=72&amp;col=26&amp;number==&amp;sourceID=13","=")</f>
        <v>=</v>
      </c>
      <c r="AA72" s="4" t="str">
        <f>HYPERLINK("http://141.218.60.56/~jnz1568/getInfo.php?workbook=11_01.xlsx&amp;sheet=A0&amp;row=72&amp;col=27&amp;number=503000000&amp;sourceID=13","503000000")</f>
        <v>503000000</v>
      </c>
      <c r="AB72" s="4" t="str">
        <f>HYPERLINK("http://141.218.60.56/~jnz1568/getInfo.php?workbook=11_01.xlsx&amp;sheet=A0&amp;row=72&amp;col=28&amp;number=&amp;sourceID=13","")</f>
        <v/>
      </c>
      <c r="AC72" s="4" t="str">
        <f>HYPERLINK("http://141.218.60.56/~jnz1568/getInfo.php?workbook=11_01.xlsx&amp;sheet=A0&amp;row=72&amp;col=29&amp;number=&amp;sourceID=13","")</f>
        <v/>
      </c>
      <c r="AD72" s="4" t="str">
        <f>HYPERLINK("http://141.218.60.56/~jnz1568/getInfo.php?workbook=11_01.xlsx&amp;sheet=A0&amp;row=72&amp;col=30&amp;number=&amp;sourceID=13","")</f>
        <v/>
      </c>
      <c r="AE72" s="4" t="str">
        <f>HYPERLINK("http://141.218.60.56/~jnz1568/getInfo.php?workbook=11_01.xlsx&amp;sheet=A0&amp;row=72&amp;col=31&amp;number=&amp;sourceID=13","")</f>
        <v/>
      </c>
    </row>
    <row r="73" spans="1:31">
      <c r="A73" s="3">
        <v>11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HYPERLINK("http://141.218.60.56/~jnz1568/getInfo.php?workbook=11_01.xlsx&amp;sheet=A0&amp;row=73&amp;col=6&amp;number=&amp;sourceID=18","")</f>
        <v/>
      </c>
      <c r="G73" s="4" t="str">
        <f>HYPERLINK("http://141.218.60.56/~jnz1568/getInfo.php?workbook=11_01.xlsx&amp;sheet=A0&amp;row=73&amp;col=7&amp;number==&amp;sourceID=11","=")</f>
        <v>=</v>
      </c>
      <c r="H73" s="4" t="str">
        <f>HYPERLINK("http://141.218.60.56/~jnz1568/getInfo.php?workbook=11_01.xlsx&amp;sheet=A0&amp;row=73&amp;col=8&amp;number=&amp;sourceID=11","")</f>
        <v/>
      </c>
      <c r="I73" s="4" t="str">
        <f>HYPERLINK("http://141.218.60.56/~jnz1568/getInfo.php?workbook=11_01.xlsx&amp;sheet=A0&amp;row=73&amp;col=9&amp;number=2261500&amp;sourceID=11","2261500")</f>
        <v>2261500</v>
      </c>
      <c r="J73" s="4" t="str">
        <f>HYPERLINK("http://141.218.60.56/~jnz1568/getInfo.php?workbook=11_01.xlsx&amp;sheet=A0&amp;row=73&amp;col=10&amp;number=&amp;sourceID=11","")</f>
        <v/>
      </c>
      <c r="K73" s="4" t="str">
        <f>HYPERLINK("http://141.218.60.56/~jnz1568/getInfo.php?workbook=11_01.xlsx&amp;sheet=A0&amp;row=73&amp;col=11&amp;number=1.2001&amp;sourceID=11","1.2001")</f>
        <v>1.2001</v>
      </c>
      <c r="L73" s="4" t="str">
        <f>HYPERLINK("http://141.218.60.56/~jnz1568/getInfo.php?workbook=11_01.xlsx&amp;sheet=A0&amp;row=73&amp;col=12&amp;number=&amp;sourceID=11","")</f>
        <v/>
      </c>
      <c r="M73" s="4" t="str">
        <f>HYPERLINK("http://141.218.60.56/~jnz1568/getInfo.php?workbook=11_01.xlsx&amp;sheet=A0&amp;row=73&amp;col=13&amp;number=0.022215&amp;sourceID=11","0.022215")</f>
        <v>0.022215</v>
      </c>
      <c r="N73" s="4" t="str">
        <f>HYPERLINK("http://141.218.60.56/~jnz1568/getInfo.php?workbook=11_01.xlsx&amp;sheet=A0&amp;row=73&amp;col=14&amp;number=2261600&amp;sourceID=12","2261600")</f>
        <v>2261600</v>
      </c>
      <c r="O73" s="4" t="str">
        <f>HYPERLINK("http://141.218.60.56/~jnz1568/getInfo.php?workbook=11_01.xlsx&amp;sheet=A0&amp;row=73&amp;col=15&amp;number=&amp;sourceID=12","")</f>
        <v/>
      </c>
      <c r="P73" s="4" t="str">
        <f>HYPERLINK("http://141.218.60.56/~jnz1568/getInfo.php?workbook=11_01.xlsx&amp;sheet=A0&amp;row=73&amp;col=16&amp;number=2261600&amp;sourceID=12","2261600")</f>
        <v>2261600</v>
      </c>
      <c r="Q73" s="4" t="str">
        <f>HYPERLINK("http://141.218.60.56/~jnz1568/getInfo.php?workbook=11_01.xlsx&amp;sheet=A0&amp;row=73&amp;col=17&amp;number=&amp;sourceID=12","")</f>
        <v/>
      </c>
      <c r="R73" s="4" t="str">
        <f>HYPERLINK("http://141.218.60.56/~jnz1568/getInfo.php?workbook=11_01.xlsx&amp;sheet=A0&amp;row=73&amp;col=18&amp;number=1.2001&amp;sourceID=12","1.2001")</f>
        <v>1.2001</v>
      </c>
      <c r="S73" s="4" t="str">
        <f>HYPERLINK("http://141.218.60.56/~jnz1568/getInfo.php?workbook=11_01.xlsx&amp;sheet=A0&amp;row=73&amp;col=19&amp;number=&amp;sourceID=12","")</f>
        <v/>
      </c>
      <c r="T73" s="4" t="str">
        <f>HYPERLINK("http://141.218.60.56/~jnz1568/getInfo.php?workbook=11_01.xlsx&amp;sheet=A0&amp;row=73&amp;col=20&amp;number=0.022215&amp;sourceID=12","0.022215")</f>
        <v>0.022215</v>
      </c>
      <c r="U73" s="4" t="str">
        <f>HYPERLINK("http://141.218.60.56/~jnz1568/getInfo.php?workbook=11_01.xlsx&amp;sheet=A0&amp;row=73&amp;col=21&amp;number=2262001.2&amp;sourceID=30","2262001.2")</f>
        <v>2262001.2</v>
      </c>
      <c r="V73" s="4" t="str">
        <f>HYPERLINK("http://141.218.60.56/~jnz1568/getInfo.php?workbook=11_01.xlsx&amp;sheet=A0&amp;row=73&amp;col=22&amp;number=&amp;sourceID=30","")</f>
        <v/>
      </c>
      <c r="W73" s="4" t="str">
        <f>HYPERLINK("http://141.218.60.56/~jnz1568/getInfo.php?workbook=11_01.xlsx&amp;sheet=A0&amp;row=73&amp;col=23&amp;number=2262000&amp;sourceID=30","2262000")</f>
        <v>2262000</v>
      </c>
      <c r="X73" s="4" t="str">
        <f>HYPERLINK("http://141.218.60.56/~jnz1568/getInfo.php?workbook=11_01.xlsx&amp;sheet=A0&amp;row=73&amp;col=24&amp;number=1.2&amp;sourceID=30","1.2")</f>
        <v>1.2</v>
      </c>
      <c r="Y73" s="4" t="str">
        <f>HYPERLINK("http://141.218.60.56/~jnz1568/getInfo.php?workbook=11_01.xlsx&amp;sheet=A0&amp;row=73&amp;col=25&amp;number=&amp;sourceID=30","")</f>
        <v/>
      </c>
      <c r="Z73" s="4" t="str">
        <f>HYPERLINK("http://141.218.60.56/~jnz1568/getInfo.php?workbook=11_01.xlsx&amp;sheet=A0&amp;row=73&amp;col=26&amp;number==&amp;sourceID=13","=")</f>
        <v>=</v>
      </c>
      <c r="AA73" s="4" t="str">
        <f>HYPERLINK("http://141.218.60.56/~jnz1568/getInfo.php?workbook=11_01.xlsx&amp;sheet=A0&amp;row=73&amp;col=27&amp;number=&amp;sourceID=13","")</f>
        <v/>
      </c>
      <c r="AB73" s="4" t="str">
        <f>HYPERLINK("http://141.218.60.56/~jnz1568/getInfo.php?workbook=11_01.xlsx&amp;sheet=A0&amp;row=73&amp;col=28&amp;number=2250000&amp;sourceID=13","2250000")</f>
        <v>2250000</v>
      </c>
      <c r="AC73" s="4" t="str">
        <f>HYPERLINK("http://141.218.60.56/~jnz1568/getInfo.php?workbook=11_01.xlsx&amp;sheet=A0&amp;row=73&amp;col=29&amp;number=&amp;sourceID=13","")</f>
        <v/>
      </c>
      <c r="AD73" s="4" t="str">
        <f>HYPERLINK("http://141.218.60.56/~jnz1568/getInfo.php?workbook=11_01.xlsx&amp;sheet=A0&amp;row=73&amp;col=30&amp;number=1.2&amp;sourceID=13","1.2")</f>
        <v>1.2</v>
      </c>
      <c r="AE73" s="4" t="str">
        <f>HYPERLINK("http://141.218.60.56/~jnz1568/getInfo.php?workbook=11_01.xlsx&amp;sheet=A0&amp;row=73&amp;col=31&amp;number=&amp;sourceID=13","")</f>
        <v/>
      </c>
    </row>
    <row r="74" spans="1:31">
      <c r="A74" s="3">
        <v>11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HYPERLINK("http://141.218.60.56/~jnz1568/getInfo.php?workbook=11_01.xlsx&amp;sheet=A0&amp;row=74&amp;col=6&amp;number=&amp;sourceID=18","")</f>
        <v/>
      </c>
      <c r="G74" s="4" t="str">
        <f>HYPERLINK("http://141.218.60.56/~jnz1568/getInfo.php?workbook=11_01.xlsx&amp;sheet=A0&amp;row=74&amp;col=7&amp;number==&amp;sourceID=11","=")</f>
        <v>=</v>
      </c>
      <c r="H74" s="4" t="str">
        <f>HYPERLINK("http://141.218.60.56/~jnz1568/getInfo.php?workbook=11_01.xlsx&amp;sheet=A0&amp;row=74&amp;col=8&amp;number=4612800000&amp;sourceID=11","4612800000")</f>
        <v>4612800000</v>
      </c>
      <c r="I74" s="4" t="str">
        <f>HYPERLINK("http://141.218.60.56/~jnz1568/getInfo.php?workbook=11_01.xlsx&amp;sheet=A0&amp;row=74&amp;col=9&amp;number=&amp;sourceID=11","")</f>
        <v/>
      </c>
      <c r="J74" s="4" t="str">
        <f>HYPERLINK("http://141.218.60.56/~jnz1568/getInfo.php?workbook=11_01.xlsx&amp;sheet=A0&amp;row=74&amp;col=10&amp;number=40.213&amp;sourceID=11","40.213")</f>
        <v>40.213</v>
      </c>
      <c r="K74" s="4" t="str">
        <f>HYPERLINK("http://141.218.60.56/~jnz1568/getInfo.php?workbook=11_01.xlsx&amp;sheet=A0&amp;row=74&amp;col=11&amp;number=&amp;sourceID=11","")</f>
        <v/>
      </c>
      <c r="L74" s="4" t="str">
        <f>HYPERLINK("http://141.218.60.56/~jnz1568/getInfo.php?workbook=11_01.xlsx&amp;sheet=A0&amp;row=74&amp;col=12&amp;number=27.506&amp;sourceID=11","27.506")</f>
        <v>27.506</v>
      </c>
      <c r="M74" s="4" t="str">
        <f>HYPERLINK("http://141.218.60.56/~jnz1568/getInfo.php?workbook=11_01.xlsx&amp;sheet=A0&amp;row=74&amp;col=13&amp;number=&amp;sourceID=11","")</f>
        <v/>
      </c>
      <c r="N74" s="4" t="str">
        <f>HYPERLINK("http://141.218.60.56/~jnz1568/getInfo.php?workbook=11_01.xlsx&amp;sheet=A0&amp;row=74&amp;col=14&amp;number=4612900000&amp;sourceID=12","4612900000")</f>
        <v>4612900000</v>
      </c>
      <c r="O74" s="4" t="str">
        <f>HYPERLINK("http://141.218.60.56/~jnz1568/getInfo.php?workbook=11_01.xlsx&amp;sheet=A0&amp;row=74&amp;col=15&amp;number=4612900000&amp;sourceID=12","4612900000")</f>
        <v>4612900000</v>
      </c>
      <c r="P74" s="4" t="str">
        <f>HYPERLINK("http://141.218.60.56/~jnz1568/getInfo.php?workbook=11_01.xlsx&amp;sheet=A0&amp;row=74&amp;col=16&amp;number=&amp;sourceID=12","")</f>
        <v/>
      </c>
      <c r="Q74" s="4" t="str">
        <f>HYPERLINK("http://141.218.60.56/~jnz1568/getInfo.php?workbook=11_01.xlsx&amp;sheet=A0&amp;row=74&amp;col=17&amp;number=40.214&amp;sourceID=12","40.214")</f>
        <v>40.214</v>
      </c>
      <c r="R74" s="4" t="str">
        <f>HYPERLINK("http://141.218.60.56/~jnz1568/getInfo.php?workbook=11_01.xlsx&amp;sheet=A0&amp;row=74&amp;col=18&amp;number=&amp;sourceID=12","")</f>
        <v/>
      </c>
      <c r="S74" s="4" t="str">
        <f>HYPERLINK("http://141.218.60.56/~jnz1568/getInfo.php?workbook=11_01.xlsx&amp;sheet=A0&amp;row=74&amp;col=19&amp;number=27.506&amp;sourceID=12","27.506")</f>
        <v>27.506</v>
      </c>
      <c r="T74" s="4" t="str">
        <f>HYPERLINK("http://141.218.60.56/~jnz1568/getInfo.php?workbook=11_01.xlsx&amp;sheet=A0&amp;row=74&amp;col=20&amp;number=&amp;sourceID=12","")</f>
        <v/>
      </c>
      <c r="U74" s="4" t="str">
        <f>HYPERLINK("http://141.218.60.56/~jnz1568/getInfo.php?workbook=11_01.xlsx&amp;sheet=A0&amp;row=74&amp;col=21&amp;number=4613000027.51&amp;sourceID=30","4613000027.51")</f>
        <v>4613000027.51</v>
      </c>
      <c r="V74" s="4" t="str">
        <f>HYPERLINK("http://141.218.60.56/~jnz1568/getInfo.php?workbook=11_01.xlsx&amp;sheet=A0&amp;row=74&amp;col=22&amp;number=4613000000&amp;sourceID=30","4613000000")</f>
        <v>4613000000</v>
      </c>
      <c r="W74" s="4" t="str">
        <f>HYPERLINK("http://141.218.60.56/~jnz1568/getInfo.php?workbook=11_01.xlsx&amp;sheet=A0&amp;row=74&amp;col=23&amp;number=&amp;sourceID=30","")</f>
        <v/>
      </c>
      <c r="X74" s="4" t="str">
        <f>HYPERLINK("http://141.218.60.56/~jnz1568/getInfo.php?workbook=11_01.xlsx&amp;sheet=A0&amp;row=74&amp;col=24&amp;number=&amp;sourceID=30","")</f>
        <v/>
      </c>
      <c r="Y74" s="4" t="str">
        <f>HYPERLINK("http://141.218.60.56/~jnz1568/getInfo.php?workbook=11_01.xlsx&amp;sheet=A0&amp;row=74&amp;col=25&amp;number=27.51&amp;sourceID=30","27.51")</f>
        <v>27.51</v>
      </c>
      <c r="Z74" s="4" t="str">
        <f>HYPERLINK("http://141.218.60.56/~jnz1568/getInfo.php?workbook=11_01.xlsx&amp;sheet=A0&amp;row=74&amp;col=26&amp;number==&amp;sourceID=13","=")</f>
        <v>=</v>
      </c>
      <c r="AA74" s="4" t="str">
        <f>HYPERLINK("http://141.218.60.56/~jnz1568/getInfo.php?workbook=11_01.xlsx&amp;sheet=A0&amp;row=74&amp;col=27&amp;number=4580000000&amp;sourceID=13","4580000000")</f>
        <v>4580000000</v>
      </c>
      <c r="AB74" s="4" t="str">
        <f>HYPERLINK("http://141.218.60.56/~jnz1568/getInfo.php?workbook=11_01.xlsx&amp;sheet=A0&amp;row=74&amp;col=28&amp;number=&amp;sourceID=13","")</f>
        <v/>
      </c>
      <c r="AC74" s="4" t="str">
        <f>HYPERLINK("http://141.218.60.56/~jnz1568/getInfo.php?workbook=11_01.xlsx&amp;sheet=A0&amp;row=74&amp;col=29&amp;number=&amp;sourceID=13","")</f>
        <v/>
      </c>
      <c r="AD74" s="4" t="str">
        <f>HYPERLINK("http://141.218.60.56/~jnz1568/getInfo.php?workbook=11_01.xlsx&amp;sheet=A0&amp;row=74&amp;col=30&amp;number=&amp;sourceID=13","")</f>
        <v/>
      </c>
      <c r="AE74" s="4" t="str">
        <f>HYPERLINK("http://141.218.60.56/~jnz1568/getInfo.php?workbook=11_01.xlsx&amp;sheet=A0&amp;row=74&amp;col=31&amp;number=&amp;sourceID=13","")</f>
        <v/>
      </c>
    </row>
    <row r="75" spans="1:31">
      <c r="A75" s="3">
        <v>11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HYPERLINK("http://141.218.60.56/~jnz1568/getInfo.php?workbook=11_01.xlsx&amp;sheet=A0&amp;row=75&amp;col=6&amp;number=&amp;sourceID=18","")</f>
        <v/>
      </c>
      <c r="G75" s="4" t="str">
        <f>HYPERLINK("http://141.218.60.56/~jnz1568/getInfo.php?workbook=11_01.xlsx&amp;sheet=A0&amp;row=75&amp;col=7&amp;number==&amp;sourceID=11","=")</f>
        <v>=</v>
      </c>
      <c r="H75" s="4" t="str">
        <f>HYPERLINK("http://141.218.60.56/~jnz1568/getInfo.php?workbook=11_01.xlsx&amp;sheet=A0&amp;row=75&amp;col=8&amp;number=&amp;sourceID=11","")</f>
        <v/>
      </c>
      <c r="I75" s="4" t="str">
        <f>HYPERLINK("http://141.218.60.56/~jnz1568/getInfo.php?workbook=11_01.xlsx&amp;sheet=A0&amp;row=75&amp;col=9&amp;number=7.468e-08&amp;sourceID=11","7.468e-08")</f>
        <v>7.468e-08</v>
      </c>
      <c r="J75" s="4" t="str">
        <f>HYPERLINK("http://141.218.60.56/~jnz1568/getInfo.php?workbook=11_01.xlsx&amp;sheet=A0&amp;row=75&amp;col=10&amp;number=&amp;sourceID=11","")</f>
        <v/>
      </c>
      <c r="K75" s="4" t="str">
        <f>HYPERLINK("http://141.218.60.56/~jnz1568/getInfo.php?workbook=11_01.xlsx&amp;sheet=A0&amp;row=75&amp;col=11&amp;number=0.0027171&amp;sourceID=11","0.0027171")</f>
        <v>0.0027171</v>
      </c>
      <c r="L75" s="4" t="str">
        <f>HYPERLINK("http://141.218.60.56/~jnz1568/getInfo.php?workbook=11_01.xlsx&amp;sheet=A0&amp;row=75&amp;col=12&amp;number=&amp;sourceID=11","")</f>
        <v/>
      </c>
      <c r="M75" s="4" t="str">
        <f>HYPERLINK("http://141.218.60.56/~jnz1568/getInfo.php?workbook=11_01.xlsx&amp;sheet=A0&amp;row=75&amp;col=13&amp;number=&amp;sourceID=11","")</f>
        <v/>
      </c>
      <c r="N75" s="4" t="str">
        <f>HYPERLINK("http://141.218.60.56/~jnz1568/getInfo.php?workbook=11_01.xlsx&amp;sheet=A0&amp;row=75&amp;col=14&amp;number=0.0027173&amp;sourceID=12","0.0027173")</f>
        <v>0.0027173</v>
      </c>
      <c r="O75" s="4" t="str">
        <f>HYPERLINK("http://141.218.60.56/~jnz1568/getInfo.php?workbook=11_01.xlsx&amp;sheet=A0&amp;row=75&amp;col=15&amp;number=&amp;sourceID=12","")</f>
        <v/>
      </c>
      <c r="P75" s="4" t="str">
        <f>HYPERLINK("http://141.218.60.56/~jnz1568/getInfo.php?workbook=11_01.xlsx&amp;sheet=A0&amp;row=75&amp;col=16&amp;number=7.4682e-08&amp;sourceID=12","7.4682e-08")</f>
        <v>7.4682e-08</v>
      </c>
      <c r="Q75" s="4" t="str">
        <f>HYPERLINK("http://141.218.60.56/~jnz1568/getInfo.php?workbook=11_01.xlsx&amp;sheet=A0&amp;row=75&amp;col=17&amp;number=&amp;sourceID=12","")</f>
        <v/>
      </c>
      <c r="R75" s="4" t="str">
        <f>HYPERLINK("http://141.218.60.56/~jnz1568/getInfo.php?workbook=11_01.xlsx&amp;sheet=A0&amp;row=75&amp;col=18&amp;number=0.0027172&amp;sourceID=12","0.0027172")</f>
        <v>0.0027172</v>
      </c>
      <c r="S75" s="4" t="str">
        <f>HYPERLINK("http://141.218.60.56/~jnz1568/getInfo.php?workbook=11_01.xlsx&amp;sheet=A0&amp;row=75&amp;col=19&amp;number=&amp;sourceID=12","")</f>
        <v/>
      </c>
      <c r="T75" s="4" t="str">
        <f>HYPERLINK("http://141.218.60.56/~jnz1568/getInfo.php?workbook=11_01.xlsx&amp;sheet=A0&amp;row=75&amp;col=20&amp;number=&amp;sourceID=12","")</f>
        <v/>
      </c>
      <c r="U75" s="4" t="str">
        <f>HYPERLINK("http://141.218.60.56/~jnz1568/getInfo.php?workbook=11_01.xlsx&amp;sheet=A0&amp;row=75&amp;col=21&amp;number=0.00271707468&amp;sourceID=30","0.00271707468")</f>
        <v>0.00271707468</v>
      </c>
      <c r="V75" s="4" t="str">
        <f>HYPERLINK("http://141.218.60.56/~jnz1568/getInfo.php?workbook=11_01.xlsx&amp;sheet=A0&amp;row=75&amp;col=22&amp;number=&amp;sourceID=30","")</f>
        <v/>
      </c>
      <c r="W75" s="4" t="str">
        <f>HYPERLINK("http://141.218.60.56/~jnz1568/getInfo.php?workbook=11_01.xlsx&amp;sheet=A0&amp;row=75&amp;col=23&amp;number=7.468e-08&amp;sourceID=30","7.468e-08")</f>
        <v>7.468e-08</v>
      </c>
      <c r="X75" s="4" t="str">
        <f>HYPERLINK("http://141.218.60.56/~jnz1568/getInfo.php?workbook=11_01.xlsx&amp;sheet=A0&amp;row=75&amp;col=24&amp;number=0.002717&amp;sourceID=30","0.002717")</f>
        <v>0.002717</v>
      </c>
      <c r="Y75" s="4" t="str">
        <f>HYPERLINK("http://141.218.60.56/~jnz1568/getInfo.php?workbook=11_01.xlsx&amp;sheet=A0&amp;row=75&amp;col=25&amp;number=&amp;sourceID=30","")</f>
        <v/>
      </c>
      <c r="Z75" s="4" t="str">
        <f>HYPERLINK("http://141.218.60.56/~jnz1568/getInfo.php?workbook=11_01.xlsx&amp;sheet=A0&amp;row=75&amp;col=26&amp;number==&amp;sourceID=13","=")</f>
        <v>=</v>
      </c>
      <c r="AA75" s="4" t="str">
        <f>HYPERLINK("http://141.218.60.56/~jnz1568/getInfo.php?workbook=11_01.xlsx&amp;sheet=A0&amp;row=75&amp;col=27&amp;number=&amp;sourceID=13","")</f>
        <v/>
      </c>
      <c r="AB75" s="4" t="str">
        <f>HYPERLINK("http://141.218.60.56/~jnz1568/getInfo.php?workbook=11_01.xlsx&amp;sheet=A0&amp;row=75&amp;col=28&amp;number=7.05e-08&amp;sourceID=13","7.05e-08")</f>
        <v>7.05e-08</v>
      </c>
      <c r="AC75" s="4" t="str">
        <f>HYPERLINK("http://141.218.60.56/~jnz1568/getInfo.php?workbook=11_01.xlsx&amp;sheet=A0&amp;row=75&amp;col=29&amp;number=&amp;sourceID=13","")</f>
        <v/>
      </c>
      <c r="AD75" s="4" t="str">
        <f>HYPERLINK("http://141.218.60.56/~jnz1568/getInfo.php?workbook=11_01.xlsx&amp;sheet=A0&amp;row=75&amp;col=30&amp;number=0.00262&amp;sourceID=13","0.00262")</f>
        <v>0.00262</v>
      </c>
      <c r="AE75" s="4" t="str">
        <f>HYPERLINK("http://141.218.60.56/~jnz1568/getInfo.php?workbook=11_01.xlsx&amp;sheet=A0&amp;row=75&amp;col=31&amp;number=&amp;sourceID=13","")</f>
        <v/>
      </c>
    </row>
    <row r="76" spans="1:31">
      <c r="A76" s="3">
        <v>11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HYPERLINK("http://141.218.60.56/~jnz1568/getInfo.php?workbook=11_01.xlsx&amp;sheet=A0&amp;row=76&amp;col=6&amp;number=&amp;sourceID=18","")</f>
        <v/>
      </c>
      <c r="G76" s="4" t="str">
        <f>HYPERLINK("http://141.218.60.56/~jnz1568/getInfo.php?workbook=11_01.xlsx&amp;sheet=A0&amp;row=76&amp;col=7&amp;number==&amp;sourceID=11","=")</f>
        <v>=</v>
      </c>
      <c r="H76" s="4" t="str">
        <f>HYPERLINK("http://141.218.60.56/~jnz1568/getInfo.php?workbook=11_01.xlsx&amp;sheet=A0&amp;row=76&amp;col=8&amp;number=909.78&amp;sourceID=11","909.78")</f>
        <v>909.78</v>
      </c>
      <c r="I76" s="4" t="str">
        <f>HYPERLINK("http://141.218.60.56/~jnz1568/getInfo.php?workbook=11_01.xlsx&amp;sheet=A0&amp;row=76&amp;col=9&amp;number=&amp;sourceID=11","")</f>
        <v/>
      </c>
      <c r="J76" s="4" t="str">
        <f>HYPERLINK("http://141.218.60.56/~jnz1568/getInfo.php?workbook=11_01.xlsx&amp;sheet=A0&amp;row=76&amp;col=10&amp;number=&amp;sourceID=11","")</f>
        <v/>
      </c>
      <c r="K76" s="4" t="str">
        <f>HYPERLINK("http://141.218.60.56/~jnz1568/getInfo.php?workbook=11_01.xlsx&amp;sheet=A0&amp;row=76&amp;col=11&amp;number=&amp;sourceID=11","")</f>
        <v/>
      </c>
      <c r="L76" s="4" t="str">
        <f>HYPERLINK("http://141.218.60.56/~jnz1568/getInfo.php?workbook=11_01.xlsx&amp;sheet=A0&amp;row=76&amp;col=12&amp;number=4.523e-12&amp;sourceID=11","4.523e-12")</f>
        <v>4.523e-12</v>
      </c>
      <c r="M76" s="4" t="str">
        <f>HYPERLINK("http://141.218.60.56/~jnz1568/getInfo.php?workbook=11_01.xlsx&amp;sheet=A0&amp;row=76&amp;col=13&amp;number=&amp;sourceID=11","")</f>
        <v/>
      </c>
      <c r="N76" s="4" t="str">
        <f>HYPERLINK("http://141.218.60.56/~jnz1568/getInfo.php?workbook=11_01.xlsx&amp;sheet=A0&amp;row=76&amp;col=14&amp;number=909.81&amp;sourceID=12","909.81")</f>
        <v>909.81</v>
      </c>
      <c r="O76" s="4" t="str">
        <f>HYPERLINK("http://141.218.60.56/~jnz1568/getInfo.php?workbook=11_01.xlsx&amp;sheet=A0&amp;row=76&amp;col=15&amp;number=909.81&amp;sourceID=12","909.81")</f>
        <v>909.81</v>
      </c>
      <c r="P76" s="4" t="str">
        <f>HYPERLINK("http://141.218.60.56/~jnz1568/getInfo.php?workbook=11_01.xlsx&amp;sheet=A0&amp;row=76&amp;col=16&amp;number=&amp;sourceID=12","")</f>
        <v/>
      </c>
      <c r="Q76" s="4" t="str">
        <f>HYPERLINK("http://141.218.60.56/~jnz1568/getInfo.php?workbook=11_01.xlsx&amp;sheet=A0&amp;row=76&amp;col=17&amp;number=&amp;sourceID=12","")</f>
        <v/>
      </c>
      <c r="R76" s="4" t="str">
        <f>HYPERLINK("http://141.218.60.56/~jnz1568/getInfo.php?workbook=11_01.xlsx&amp;sheet=A0&amp;row=76&amp;col=18&amp;number=&amp;sourceID=12","")</f>
        <v/>
      </c>
      <c r="S76" s="4" t="str">
        <f>HYPERLINK("http://141.218.60.56/~jnz1568/getInfo.php?workbook=11_01.xlsx&amp;sheet=A0&amp;row=76&amp;col=19&amp;number=4.523e-12&amp;sourceID=12","4.523e-12")</f>
        <v>4.523e-12</v>
      </c>
      <c r="T76" s="4" t="str">
        <f>HYPERLINK("http://141.218.60.56/~jnz1568/getInfo.php?workbook=11_01.xlsx&amp;sheet=A0&amp;row=76&amp;col=20&amp;number=&amp;sourceID=12","")</f>
        <v/>
      </c>
      <c r="U76" s="4" t="str">
        <f>HYPERLINK("http://141.218.60.56/~jnz1568/getInfo.php?workbook=11_01.xlsx&amp;sheet=A0&amp;row=76&amp;col=21&amp;number=909.8&amp;sourceID=30","909.8")</f>
        <v>909.8</v>
      </c>
      <c r="V76" s="4" t="str">
        <f>HYPERLINK("http://141.218.60.56/~jnz1568/getInfo.php?workbook=11_01.xlsx&amp;sheet=A0&amp;row=76&amp;col=22&amp;number=909.8&amp;sourceID=30","909.8")</f>
        <v>909.8</v>
      </c>
      <c r="W76" s="4" t="str">
        <f>HYPERLINK("http://141.218.60.56/~jnz1568/getInfo.php?workbook=11_01.xlsx&amp;sheet=A0&amp;row=76&amp;col=23&amp;number=&amp;sourceID=30","")</f>
        <v/>
      </c>
      <c r="X76" s="4" t="str">
        <f>HYPERLINK("http://141.218.60.56/~jnz1568/getInfo.php?workbook=11_01.xlsx&amp;sheet=A0&amp;row=76&amp;col=24&amp;number=&amp;sourceID=30","")</f>
        <v/>
      </c>
      <c r="Y76" s="4" t="str">
        <f>HYPERLINK("http://141.218.60.56/~jnz1568/getInfo.php?workbook=11_01.xlsx&amp;sheet=A0&amp;row=76&amp;col=25&amp;number=4.523e-12&amp;sourceID=30","4.523e-12")</f>
        <v>4.523e-12</v>
      </c>
      <c r="Z76" s="4" t="str">
        <f>HYPERLINK("http://141.218.60.56/~jnz1568/getInfo.php?workbook=11_01.xlsx&amp;sheet=A0&amp;row=76&amp;col=26&amp;number==&amp;sourceID=13","=")</f>
        <v>=</v>
      </c>
      <c r="AA76" s="4" t="str">
        <f>HYPERLINK("http://141.218.60.56/~jnz1568/getInfo.php?workbook=11_01.xlsx&amp;sheet=A0&amp;row=76&amp;col=27&amp;number=870&amp;sourceID=13","870")</f>
        <v>870</v>
      </c>
      <c r="AB76" s="4" t="str">
        <f>HYPERLINK("http://141.218.60.56/~jnz1568/getInfo.php?workbook=11_01.xlsx&amp;sheet=A0&amp;row=76&amp;col=28&amp;number=&amp;sourceID=13","")</f>
        <v/>
      </c>
      <c r="AC76" s="4" t="str">
        <f>HYPERLINK("http://141.218.60.56/~jnz1568/getInfo.php?workbook=11_01.xlsx&amp;sheet=A0&amp;row=76&amp;col=29&amp;number=&amp;sourceID=13","")</f>
        <v/>
      </c>
      <c r="AD76" s="4" t="str">
        <f>HYPERLINK("http://141.218.60.56/~jnz1568/getInfo.php?workbook=11_01.xlsx&amp;sheet=A0&amp;row=76&amp;col=30&amp;number=&amp;sourceID=13","")</f>
        <v/>
      </c>
      <c r="AE76" s="4" t="str">
        <f>HYPERLINK("http://141.218.60.56/~jnz1568/getInfo.php?workbook=11_01.xlsx&amp;sheet=A0&amp;row=76&amp;col=31&amp;number=&amp;sourceID=13","")</f>
        <v/>
      </c>
    </row>
    <row r="77" spans="1:31">
      <c r="A77" s="3">
        <v>11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HYPERLINK("http://141.218.60.56/~jnz1568/getInfo.php?workbook=11_01.xlsx&amp;sheet=A0&amp;row=77&amp;col=6&amp;number=&amp;sourceID=18","")</f>
        <v/>
      </c>
      <c r="G77" s="4" t="str">
        <f>HYPERLINK("http://141.218.60.56/~jnz1568/getInfo.php?workbook=11_01.xlsx&amp;sheet=A0&amp;row=77&amp;col=7&amp;number==&amp;sourceID=11","=")</f>
        <v>=</v>
      </c>
      <c r="H77" s="4" t="str">
        <f>HYPERLINK("http://141.218.60.56/~jnz1568/getInfo.php?workbook=11_01.xlsx&amp;sheet=A0&amp;row=77&amp;col=8&amp;number=&amp;sourceID=11","")</f>
        <v/>
      </c>
      <c r="I77" s="4" t="str">
        <f>HYPERLINK("http://141.218.60.56/~jnz1568/getInfo.php?workbook=11_01.xlsx&amp;sheet=A0&amp;row=77&amp;col=9&amp;number=&amp;sourceID=11","")</f>
        <v/>
      </c>
      <c r="J77" s="4" t="str">
        <f>HYPERLINK("http://141.218.60.56/~jnz1568/getInfo.php?workbook=11_01.xlsx&amp;sheet=A0&amp;row=77&amp;col=10&amp;number=66342&amp;sourceID=11","66342")</f>
        <v>66342</v>
      </c>
      <c r="K77" s="4" t="str">
        <f>HYPERLINK("http://141.218.60.56/~jnz1568/getInfo.php?workbook=11_01.xlsx&amp;sheet=A0&amp;row=77&amp;col=11&amp;number=&amp;sourceID=11","")</f>
        <v/>
      </c>
      <c r="L77" s="4" t="str">
        <f>HYPERLINK("http://141.218.60.56/~jnz1568/getInfo.php?workbook=11_01.xlsx&amp;sheet=A0&amp;row=77&amp;col=12&amp;number=0.0051018&amp;sourceID=11","0.0051018")</f>
        <v>0.0051018</v>
      </c>
      <c r="M77" s="4" t="str">
        <f>HYPERLINK("http://141.218.60.56/~jnz1568/getInfo.php?workbook=11_01.xlsx&amp;sheet=A0&amp;row=77&amp;col=13&amp;number=&amp;sourceID=11","")</f>
        <v/>
      </c>
      <c r="N77" s="4" t="str">
        <f>HYPERLINK("http://141.218.60.56/~jnz1568/getInfo.php?workbook=11_01.xlsx&amp;sheet=A0&amp;row=77&amp;col=14&amp;number=66343&amp;sourceID=12","66343")</f>
        <v>66343</v>
      </c>
      <c r="O77" s="4" t="str">
        <f>HYPERLINK("http://141.218.60.56/~jnz1568/getInfo.php?workbook=11_01.xlsx&amp;sheet=A0&amp;row=77&amp;col=15&amp;number=&amp;sourceID=12","")</f>
        <v/>
      </c>
      <c r="P77" s="4" t="str">
        <f>HYPERLINK("http://141.218.60.56/~jnz1568/getInfo.php?workbook=11_01.xlsx&amp;sheet=A0&amp;row=77&amp;col=16&amp;number=&amp;sourceID=12","")</f>
        <v/>
      </c>
      <c r="Q77" s="4" t="str">
        <f>HYPERLINK("http://141.218.60.56/~jnz1568/getInfo.php?workbook=11_01.xlsx&amp;sheet=A0&amp;row=77&amp;col=17&amp;number=66343&amp;sourceID=12","66343")</f>
        <v>66343</v>
      </c>
      <c r="R77" s="4" t="str">
        <f>HYPERLINK("http://141.218.60.56/~jnz1568/getInfo.php?workbook=11_01.xlsx&amp;sheet=A0&amp;row=77&amp;col=18&amp;number=&amp;sourceID=12","")</f>
        <v/>
      </c>
      <c r="S77" s="4" t="str">
        <f>HYPERLINK("http://141.218.60.56/~jnz1568/getInfo.php?workbook=11_01.xlsx&amp;sheet=A0&amp;row=77&amp;col=19&amp;number=0.0050638&amp;sourceID=12","0.0050638")</f>
        <v>0.0050638</v>
      </c>
      <c r="T77" s="4" t="str">
        <f>HYPERLINK("http://141.218.60.56/~jnz1568/getInfo.php?workbook=11_01.xlsx&amp;sheet=A0&amp;row=77&amp;col=20&amp;number=&amp;sourceID=12","")</f>
        <v/>
      </c>
      <c r="U77" s="4" t="str">
        <f>HYPERLINK("http://141.218.60.56/~jnz1568/getInfo.php?workbook=11_01.xlsx&amp;sheet=A0&amp;row=77&amp;col=21&amp;number=0.005102&amp;sourceID=30","0.005102")</f>
        <v>0.005102</v>
      </c>
      <c r="V77" s="4" t="str">
        <f>HYPERLINK("http://141.218.60.56/~jnz1568/getInfo.php?workbook=11_01.xlsx&amp;sheet=A0&amp;row=77&amp;col=22&amp;number=&amp;sourceID=30","")</f>
        <v/>
      </c>
      <c r="W77" s="4" t="str">
        <f>HYPERLINK("http://141.218.60.56/~jnz1568/getInfo.php?workbook=11_01.xlsx&amp;sheet=A0&amp;row=77&amp;col=23&amp;number=&amp;sourceID=30","")</f>
        <v/>
      </c>
      <c r="X77" s="4" t="str">
        <f>HYPERLINK("http://141.218.60.56/~jnz1568/getInfo.php?workbook=11_01.xlsx&amp;sheet=A0&amp;row=77&amp;col=24&amp;number=&amp;sourceID=30","")</f>
        <v/>
      </c>
      <c r="Y77" s="4" t="str">
        <f>HYPERLINK("http://141.218.60.56/~jnz1568/getInfo.php?workbook=11_01.xlsx&amp;sheet=A0&amp;row=77&amp;col=25&amp;number=0.005102&amp;sourceID=30","0.005102")</f>
        <v>0.005102</v>
      </c>
      <c r="Z77" s="4" t="str">
        <f>HYPERLINK("http://141.218.60.56/~jnz1568/getInfo.php?workbook=11_01.xlsx&amp;sheet=A0&amp;row=77&amp;col=26&amp;number==&amp;sourceID=13","=")</f>
        <v>=</v>
      </c>
      <c r="AA77" s="4" t="str">
        <f>HYPERLINK("http://141.218.60.56/~jnz1568/getInfo.php?workbook=11_01.xlsx&amp;sheet=A0&amp;row=77&amp;col=27&amp;number=&amp;sourceID=13","")</f>
        <v/>
      </c>
      <c r="AB77" s="4" t="str">
        <f>HYPERLINK("http://141.218.60.56/~jnz1568/getInfo.php?workbook=11_01.xlsx&amp;sheet=A0&amp;row=77&amp;col=28&amp;number=&amp;sourceID=13","")</f>
        <v/>
      </c>
      <c r="AC77" s="4" t="str">
        <f>HYPERLINK("http://141.218.60.56/~jnz1568/getInfo.php?workbook=11_01.xlsx&amp;sheet=A0&amp;row=77&amp;col=29&amp;number=7530&amp;sourceID=13","7530")</f>
        <v>7530</v>
      </c>
      <c r="AD77" s="4" t="str">
        <f>HYPERLINK("http://141.218.60.56/~jnz1568/getInfo.php?workbook=11_01.xlsx&amp;sheet=A0&amp;row=77&amp;col=30&amp;number=&amp;sourceID=13","")</f>
        <v/>
      </c>
      <c r="AE77" s="4" t="str">
        <f>HYPERLINK("http://141.218.60.56/~jnz1568/getInfo.php?workbook=11_01.xlsx&amp;sheet=A0&amp;row=77&amp;col=31&amp;number=&amp;sourceID=13","")</f>
        <v/>
      </c>
    </row>
    <row r="78" spans="1:31">
      <c r="A78" s="3">
        <v>11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HYPERLINK("http://141.218.60.56/~jnz1568/getInfo.php?workbook=11_01.xlsx&amp;sheet=A0&amp;row=78&amp;col=6&amp;number=&amp;sourceID=18","")</f>
        <v/>
      </c>
      <c r="G78" s="4" t="str">
        <f>HYPERLINK("http://141.218.60.56/~jnz1568/getInfo.php?workbook=11_01.xlsx&amp;sheet=A0&amp;row=78&amp;col=7&amp;number==&amp;sourceID=11","=")</f>
        <v>=</v>
      </c>
      <c r="H78" s="4" t="str">
        <f>HYPERLINK("http://141.218.60.56/~jnz1568/getInfo.php?workbook=11_01.xlsx&amp;sheet=A0&amp;row=78&amp;col=8&amp;number=&amp;sourceID=11","")</f>
        <v/>
      </c>
      <c r="I78" s="4" t="str">
        <f>HYPERLINK("http://141.218.60.56/~jnz1568/getInfo.php?workbook=11_01.xlsx&amp;sheet=A0&amp;row=78&amp;col=9&amp;number=85152000&amp;sourceID=11","85152000")</f>
        <v>85152000</v>
      </c>
      <c r="J78" s="4" t="str">
        <f>HYPERLINK("http://141.218.60.56/~jnz1568/getInfo.php?workbook=11_01.xlsx&amp;sheet=A0&amp;row=78&amp;col=10&amp;number=&amp;sourceID=11","")</f>
        <v/>
      </c>
      <c r="K78" s="4" t="str">
        <f>HYPERLINK("http://141.218.60.56/~jnz1568/getInfo.php?workbook=11_01.xlsx&amp;sheet=A0&amp;row=78&amp;col=11&amp;number=&amp;sourceID=11","")</f>
        <v/>
      </c>
      <c r="L78" s="4" t="str">
        <f>HYPERLINK("http://141.218.60.56/~jnz1568/getInfo.php?workbook=11_01.xlsx&amp;sheet=A0&amp;row=78&amp;col=12&amp;number=&amp;sourceID=11","")</f>
        <v/>
      </c>
      <c r="M78" s="4" t="str">
        <f>HYPERLINK("http://141.218.60.56/~jnz1568/getInfo.php?workbook=11_01.xlsx&amp;sheet=A0&amp;row=78&amp;col=13&amp;number=0.14153&amp;sourceID=11","0.14153")</f>
        <v>0.14153</v>
      </c>
      <c r="N78" s="4" t="str">
        <f>HYPERLINK("http://141.218.60.56/~jnz1568/getInfo.php?workbook=11_01.xlsx&amp;sheet=A0&amp;row=78&amp;col=14&amp;number=85155000&amp;sourceID=12","85155000")</f>
        <v>85155000</v>
      </c>
      <c r="O78" s="4" t="str">
        <f>HYPERLINK("http://141.218.60.56/~jnz1568/getInfo.php?workbook=11_01.xlsx&amp;sheet=A0&amp;row=78&amp;col=15&amp;number=&amp;sourceID=12","")</f>
        <v/>
      </c>
      <c r="P78" s="4" t="str">
        <f>HYPERLINK("http://141.218.60.56/~jnz1568/getInfo.php?workbook=11_01.xlsx&amp;sheet=A0&amp;row=78&amp;col=16&amp;number=85155000&amp;sourceID=12","85155000")</f>
        <v>85155000</v>
      </c>
      <c r="Q78" s="4" t="str">
        <f>HYPERLINK("http://141.218.60.56/~jnz1568/getInfo.php?workbook=11_01.xlsx&amp;sheet=A0&amp;row=78&amp;col=17&amp;number=&amp;sourceID=12","")</f>
        <v/>
      </c>
      <c r="R78" s="4" t="str">
        <f>HYPERLINK("http://141.218.60.56/~jnz1568/getInfo.php?workbook=11_01.xlsx&amp;sheet=A0&amp;row=78&amp;col=18&amp;number=&amp;sourceID=12","")</f>
        <v/>
      </c>
      <c r="S78" s="4" t="str">
        <f>HYPERLINK("http://141.218.60.56/~jnz1568/getInfo.php?workbook=11_01.xlsx&amp;sheet=A0&amp;row=78&amp;col=19&amp;number=&amp;sourceID=12","")</f>
        <v/>
      </c>
      <c r="T78" s="4" t="str">
        <f>HYPERLINK("http://141.218.60.56/~jnz1568/getInfo.php?workbook=11_01.xlsx&amp;sheet=A0&amp;row=78&amp;col=20&amp;number=0.14154&amp;sourceID=12","0.14154")</f>
        <v>0.14154</v>
      </c>
      <c r="U78" s="4" t="str">
        <f>HYPERLINK("http://141.218.60.56/~jnz1568/getInfo.php?workbook=11_01.xlsx&amp;sheet=A0&amp;row=78&amp;col=21&amp;number=85160000&amp;sourceID=30","85160000")</f>
        <v>85160000</v>
      </c>
      <c r="V78" s="4" t="str">
        <f>HYPERLINK("http://141.218.60.56/~jnz1568/getInfo.php?workbook=11_01.xlsx&amp;sheet=A0&amp;row=78&amp;col=22&amp;number=&amp;sourceID=30","")</f>
        <v/>
      </c>
      <c r="W78" s="4" t="str">
        <f>HYPERLINK("http://141.218.60.56/~jnz1568/getInfo.php?workbook=11_01.xlsx&amp;sheet=A0&amp;row=78&amp;col=23&amp;number=85160000&amp;sourceID=30","85160000")</f>
        <v>85160000</v>
      </c>
      <c r="X78" s="4" t="str">
        <f>HYPERLINK("http://141.218.60.56/~jnz1568/getInfo.php?workbook=11_01.xlsx&amp;sheet=A0&amp;row=78&amp;col=24&amp;number=&amp;sourceID=30","")</f>
        <v/>
      </c>
      <c r="Y78" s="4" t="str">
        <f>HYPERLINK("http://141.218.60.56/~jnz1568/getInfo.php?workbook=11_01.xlsx&amp;sheet=A0&amp;row=78&amp;col=25&amp;number=&amp;sourceID=30","")</f>
        <v/>
      </c>
      <c r="Z78" s="4" t="str">
        <f>HYPERLINK("http://141.218.60.56/~jnz1568/getInfo.php?workbook=11_01.xlsx&amp;sheet=A0&amp;row=78&amp;col=26&amp;number==&amp;sourceID=13","=")</f>
        <v>=</v>
      </c>
      <c r="AA78" s="4" t="str">
        <f>HYPERLINK("http://141.218.60.56/~jnz1568/getInfo.php?workbook=11_01.xlsx&amp;sheet=A0&amp;row=78&amp;col=27&amp;number=&amp;sourceID=13","")</f>
        <v/>
      </c>
      <c r="AB78" s="4" t="str">
        <f>HYPERLINK("http://141.218.60.56/~jnz1568/getInfo.php?workbook=11_01.xlsx&amp;sheet=A0&amp;row=78&amp;col=28&amp;number=85700000&amp;sourceID=13","85700000")</f>
        <v>85700000</v>
      </c>
      <c r="AC78" s="4" t="str">
        <f>HYPERLINK("http://141.218.60.56/~jnz1568/getInfo.php?workbook=11_01.xlsx&amp;sheet=A0&amp;row=78&amp;col=29&amp;number=&amp;sourceID=13","")</f>
        <v/>
      </c>
      <c r="AD78" s="4" t="str">
        <f>HYPERLINK("http://141.218.60.56/~jnz1568/getInfo.php?workbook=11_01.xlsx&amp;sheet=A0&amp;row=78&amp;col=30&amp;number=&amp;sourceID=13","")</f>
        <v/>
      </c>
      <c r="AE78" s="4" t="str">
        <f>HYPERLINK("http://141.218.60.56/~jnz1568/getInfo.php?workbook=11_01.xlsx&amp;sheet=A0&amp;row=78&amp;col=31&amp;number=&amp;sourceID=13","")</f>
        <v/>
      </c>
    </row>
    <row r="79" spans="1:31">
      <c r="A79" s="3">
        <v>11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HYPERLINK("http://141.218.60.56/~jnz1568/getInfo.php?workbook=11_01.xlsx&amp;sheet=A0&amp;row=79&amp;col=6&amp;number=&amp;sourceID=18","")</f>
        <v/>
      </c>
      <c r="G79" s="4" t="str">
        <f>HYPERLINK("http://141.218.60.56/~jnz1568/getInfo.php?workbook=11_01.xlsx&amp;sheet=A0&amp;row=79&amp;col=7&amp;number==&amp;sourceID=11","=")</f>
        <v>=</v>
      </c>
      <c r="H79" s="4" t="str">
        <f>HYPERLINK("http://141.218.60.56/~jnz1568/getInfo.php?workbook=11_01.xlsx&amp;sheet=A0&amp;row=79&amp;col=8&amp;number=&amp;sourceID=11","")</f>
        <v/>
      </c>
      <c r="I79" s="4" t="str">
        <f>HYPERLINK("http://141.218.60.56/~jnz1568/getInfo.php?workbook=11_01.xlsx&amp;sheet=A0&amp;row=79&amp;col=9&amp;number=&amp;sourceID=11","")</f>
        <v/>
      </c>
      <c r="J79" s="4" t="str">
        <f>HYPERLINK("http://141.218.60.56/~jnz1568/getInfo.php?workbook=11_01.xlsx&amp;sheet=A0&amp;row=79&amp;col=10&amp;number=26353&amp;sourceID=11","26353")</f>
        <v>26353</v>
      </c>
      <c r="K79" s="4" t="str">
        <f>HYPERLINK("http://141.218.60.56/~jnz1568/getInfo.php?workbook=11_01.xlsx&amp;sheet=A0&amp;row=79&amp;col=11&amp;number=&amp;sourceID=11","")</f>
        <v/>
      </c>
      <c r="L79" s="4" t="str">
        <f>HYPERLINK("http://141.218.60.56/~jnz1568/getInfo.php?workbook=11_01.xlsx&amp;sheet=A0&amp;row=79&amp;col=12&amp;number=0.00026257&amp;sourceID=11","0.00026257")</f>
        <v>0.00026257</v>
      </c>
      <c r="M79" s="4" t="str">
        <f>HYPERLINK("http://141.218.60.56/~jnz1568/getInfo.php?workbook=11_01.xlsx&amp;sheet=A0&amp;row=79&amp;col=13&amp;number=&amp;sourceID=11","")</f>
        <v/>
      </c>
      <c r="N79" s="4" t="str">
        <f>HYPERLINK("http://141.218.60.56/~jnz1568/getInfo.php?workbook=11_01.xlsx&amp;sheet=A0&amp;row=79&amp;col=14&amp;number=26353&amp;sourceID=12","26353")</f>
        <v>26353</v>
      </c>
      <c r="O79" s="4" t="str">
        <f>HYPERLINK("http://141.218.60.56/~jnz1568/getInfo.php?workbook=11_01.xlsx&amp;sheet=A0&amp;row=79&amp;col=15&amp;number=&amp;sourceID=12","")</f>
        <v/>
      </c>
      <c r="P79" s="4" t="str">
        <f>HYPERLINK("http://141.218.60.56/~jnz1568/getInfo.php?workbook=11_01.xlsx&amp;sheet=A0&amp;row=79&amp;col=16&amp;number=&amp;sourceID=12","")</f>
        <v/>
      </c>
      <c r="Q79" s="4" t="str">
        <f>HYPERLINK("http://141.218.60.56/~jnz1568/getInfo.php?workbook=11_01.xlsx&amp;sheet=A0&amp;row=79&amp;col=17&amp;number=26353&amp;sourceID=12","26353")</f>
        <v>26353</v>
      </c>
      <c r="R79" s="4" t="str">
        <f>HYPERLINK("http://141.218.60.56/~jnz1568/getInfo.php?workbook=11_01.xlsx&amp;sheet=A0&amp;row=79&amp;col=18&amp;number=&amp;sourceID=12","")</f>
        <v/>
      </c>
      <c r="S79" s="4" t="str">
        <f>HYPERLINK("http://141.218.60.56/~jnz1568/getInfo.php?workbook=11_01.xlsx&amp;sheet=A0&amp;row=79&amp;col=19&amp;number=0.00026255&amp;sourceID=12","0.00026255")</f>
        <v>0.00026255</v>
      </c>
      <c r="T79" s="4" t="str">
        <f>HYPERLINK("http://141.218.60.56/~jnz1568/getInfo.php?workbook=11_01.xlsx&amp;sheet=A0&amp;row=79&amp;col=20&amp;number=&amp;sourceID=12","")</f>
        <v/>
      </c>
      <c r="U79" s="4" t="str">
        <f>HYPERLINK("http://141.218.60.56/~jnz1568/getInfo.php?workbook=11_01.xlsx&amp;sheet=A0&amp;row=79&amp;col=21&amp;number=0.0002626&amp;sourceID=30","0.0002626")</f>
        <v>0.0002626</v>
      </c>
      <c r="V79" s="4" t="str">
        <f>HYPERLINK("http://141.218.60.56/~jnz1568/getInfo.php?workbook=11_01.xlsx&amp;sheet=A0&amp;row=79&amp;col=22&amp;number=&amp;sourceID=30","")</f>
        <v/>
      </c>
      <c r="W79" s="4" t="str">
        <f>HYPERLINK("http://141.218.60.56/~jnz1568/getInfo.php?workbook=11_01.xlsx&amp;sheet=A0&amp;row=79&amp;col=23&amp;number=&amp;sourceID=30","")</f>
        <v/>
      </c>
      <c r="X79" s="4" t="str">
        <f>HYPERLINK("http://141.218.60.56/~jnz1568/getInfo.php?workbook=11_01.xlsx&amp;sheet=A0&amp;row=79&amp;col=24&amp;number=&amp;sourceID=30","")</f>
        <v/>
      </c>
      <c r="Y79" s="4" t="str">
        <f>HYPERLINK("http://141.218.60.56/~jnz1568/getInfo.php?workbook=11_01.xlsx&amp;sheet=A0&amp;row=79&amp;col=25&amp;number=0.0002626&amp;sourceID=30","0.0002626")</f>
        <v>0.0002626</v>
      </c>
      <c r="Z79" s="4" t="str">
        <f>HYPERLINK("http://141.218.60.56/~jnz1568/getInfo.php?workbook=11_01.xlsx&amp;sheet=A0&amp;row=79&amp;col=26&amp;number==&amp;sourceID=13","=")</f>
        <v>=</v>
      </c>
      <c r="AA79" s="4" t="str">
        <f>HYPERLINK("http://141.218.60.56/~jnz1568/getInfo.php?workbook=11_01.xlsx&amp;sheet=A0&amp;row=79&amp;col=27&amp;number=&amp;sourceID=13","")</f>
        <v/>
      </c>
      <c r="AB79" s="4" t="str">
        <f>HYPERLINK("http://141.218.60.56/~jnz1568/getInfo.php?workbook=11_01.xlsx&amp;sheet=A0&amp;row=79&amp;col=28&amp;number=&amp;sourceID=13","")</f>
        <v/>
      </c>
      <c r="AC79" s="4" t="str">
        <f>HYPERLINK("http://141.218.60.56/~jnz1568/getInfo.php?workbook=11_01.xlsx&amp;sheet=A0&amp;row=79&amp;col=29&amp;number=26800&amp;sourceID=13","26800")</f>
        <v>26800</v>
      </c>
      <c r="AD79" s="4" t="str">
        <f>HYPERLINK("http://141.218.60.56/~jnz1568/getInfo.php?workbook=11_01.xlsx&amp;sheet=A0&amp;row=79&amp;col=30&amp;number=&amp;sourceID=13","")</f>
        <v/>
      </c>
      <c r="AE79" s="4" t="str">
        <f>HYPERLINK("http://141.218.60.56/~jnz1568/getInfo.php?workbook=11_01.xlsx&amp;sheet=A0&amp;row=79&amp;col=31&amp;number=&amp;sourceID=13","")</f>
        <v/>
      </c>
    </row>
    <row r="80" spans="1:31">
      <c r="A80" s="3">
        <v>11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HYPERLINK("http://141.218.60.56/~jnz1568/getInfo.php?workbook=11_01.xlsx&amp;sheet=A0&amp;row=80&amp;col=6&amp;number=&amp;sourceID=18","")</f>
        <v/>
      </c>
      <c r="G80" s="4" t="str">
        <f>HYPERLINK("http://141.218.60.56/~jnz1568/getInfo.php?workbook=11_01.xlsx&amp;sheet=A0&amp;row=80&amp;col=7&amp;number==&amp;sourceID=11","=")</f>
        <v>=</v>
      </c>
      <c r="H80" s="4" t="str">
        <f>HYPERLINK("http://141.218.60.56/~jnz1568/getInfo.php?workbook=11_01.xlsx&amp;sheet=A0&amp;row=80&amp;col=8&amp;number=&amp;sourceID=11","")</f>
        <v/>
      </c>
      <c r="I80" s="4" t="str">
        <f>HYPERLINK("http://141.218.60.56/~jnz1568/getInfo.php?workbook=11_01.xlsx&amp;sheet=A0&amp;row=80&amp;col=9&amp;number=24318000&amp;sourceID=11","24318000")</f>
        <v>24318000</v>
      </c>
      <c r="J80" s="4" t="str">
        <f>HYPERLINK("http://141.218.60.56/~jnz1568/getInfo.php?workbook=11_01.xlsx&amp;sheet=A0&amp;row=80&amp;col=10&amp;number=&amp;sourceID=11","")</f>
        <v/>
      </c>
      <c r="K80" s="4" t="str">
        <f>HYPERLINK("http://141.218.60.56/~jnz1568/getInfo.php?workbook=11_01.xlsx&amp;sheet=A0&amp;row=80&amp;col=11&amp;number=1.1462&amp;sourceID=11","1.1462")</f>
        <v>1.1462</v>
      </c>
      <c r="L80" s="4" t="str">
        <f>HYPERLINK("http://141.218.60.56/~jnz1568/getInfo.php?workbook=11_01.xlsx&amp;sheet=A0&amp;row=80&amp;col=12&amp;number=&amp;sourceID=11","")</f>
        <v/>
      </c>
      <c r="M80" s="4" t="str">
        <f>HYPERLINK("http://141.218.60.56/~jnz1568/getInfo.php?workbook=11_01.xlsx&amp;sheet=A0&amp;row=80&amp;col=13&amp;number=0.02821&amp;sourceID=11","0.02821")</f>
        <v>0.02821</v>
      </c>
      <c r="N80" s="4" t="str">
        <f>HYPERLINK("http://141.218.60.56/~jnz1568/getInfo.php?workbook=11_01.xlsx&amp;sheet=A0&amp;row=80&amp;col=14&amp;number=24319000&amp;sourceID=12","24319000")</f>
        <v>24319000</v>
      </c>
      <c r="O80" s="4" t="str">
        <f>HYPERLINK("http://141.218.60.56/~jnz1568/getInfo.php?workbook=11_01.xlsx&amp;sheet=A0&amp;row=80&amp;col=15&amp;number=&amp;sourceID=12","")</f>
        <v/>
      </c>
      <c r="P80" s="4" t="str">
        <f>HYPERLINK("http://141.218.60.56/~jnz1568/getInfo.php?workbook=11_01.xlsx&amp;sheet=A0&amp;row=80&amp;col=16&amp;number=24319000&amp;sourceID=12","24319000")</f>
        <v>24319000</v>
      </c>
      <c r="Q80" s="4" t="str">
        <f>HYPERLINK("http://141.218.60.56/~jnz1568/getInfo.php?workbook=11_01.xlsx&amp;sheet=A0&amp;row=80&amp;col=17&amp;number=&amp;sourceID=12","")</f>
        <v/>
      </c>
      <c r="R80" s="4" t="str">
        <f>HYPERLINK("http://141.218.60.56/~jnz1568/getInfo.php?workbook=11_01.xlsx&amp;sheet=A0&amp;row=80&amp;col=18&amp;number=1.1463&amp;sourceID=12","1.1463")</f>
        <v>1.1463</v>
      </c>
      <c r="S80" s="4" t="str">
        <f>HYPERLINK("http://141.218.60.56/~jnz1568/getInfo.php?workbook=11_01.xlsx&amp;sheet=A0&amp;row=80&amp;col=19&amp;number=&amp;sourceID=12","")</f>
        <v/>
      </c>
      <c r="T80" s="4" t="str">
        <f>HYPERLINK("http://141.218.60.56/~jnz1568/getInfo.php?workbook=11_01.xlsx&amp;sheet=A0&amp;row=80&amp;col=20&amp;number=0.028211&amp;sourceID=12","0.028211")</f>
        <v>0.028211</v>
      </c>
      <c r="U80" s="4" t="str">
        <f>HYPERLINK("http://141.218.60.56/~jnz1568/getInfo.php?workbook=11_01.xlsx&amp;sheet=A0&amp;row=80&amp;col=21&amp;number=24320001.146&amp;sourceID=30","24320001.146")</f>
        <v>24320001.146</v>
      </c>
      <c r="V80" s="4" t="str">
        <f>HYPERLINK("http://141.218.60.56/~jnz1568/getInfo.php?workbook=11_01.xlsx&amp;sheet=A0&amp;row=80&amp;col=22&amp;number=&amp;sourceID=30","")</f>
        <v/>
      </c>
      <c r="W80" s="4" t="str">
        <f>HYPERLINK("http://141.218.60.56/~jnz1568/getInfo.php?workbook=11_01.xlsx&amp;sheet=A0&amp;row=80&amp;col=23&amp;number=24320000&amp;sourceID=30","24320000")</f>
        <v>24320000</v>
      </c>
      <c r="X80" s="4" t="str">
        <f>HYPERLINK("http://141.218.60.56/~jnz1568/getInfo.php?workbook=11_01.xlsx&amp;sheet=A0&amp;row=80&amp;col=24&amp;number=1.146&amp;sourceID=30","1.146")</f>
        <v>1.146</v>
      </c>
      <c r="Y80" s="4" t="str">
        <f>HYPERLINK("http://141.218.60.56/~jnz1568/getInfo.php?workbook=11_01.xlsx&amp;sheet=A0&amp;row=80&amp;col=25&amp;number=&amp;sourceID=30","")</f>
        <v/>
      </c>
      <c r="Z80" s="4" t="str">
        <f>HYPERLINK("http://141.218.60.56/~jnz1568/getInfo.php?workbook=11_01.xlsx&amp;sheet=A0&amp;row=80&amp;col=26&amp;number==&amp;sourceID=13","=")</f>
        <v>=</v>
      </c>
      <c r="AA80" s="4" t="str">
        <f>HYPERLINK("http://141.218.60.56/~jnz1568/getInfo.php?workbook=11_01.xlsx&amp;sheet=A0&amp;row=80&amp;col=27&amp;number=&amp;sourceID=13","")</f>
        <v/>
      </c>
      <c r="AB80" s="4" t="str">
        <f>HYPERLINK("http://141.218.60.56/~jnz1568/getInfo.php?workbook=11_01.xlsx&amp;sheet=A0&amp;row=80&amp;col=28&amp;number=24400000&amp;sourceID=13","24400000")</f>
        <v>24400000</v>
      </c>
      <c r="AC80" s="4" t="str">
        <f>HYPERLINK("http://141.218.60.56/~jnz1568/getInfo.php?workbook=11_01.xlsx&amp;sheet=A0&amp;row=80&amp;col=29&amp;number=&amp;sourceID=13","")</f>
        <v/>
      </c>
      <c r="AD80" s="4" t="str">
        <f>HYPERLINK("http://141.218.60.56/~jnz1568/getInfo.php?workbook=11_01.xlsx&amp;sheet=A0&amp;row=80&amp;col=30&amp;number=2.38&amp;sourceID=13","2.38")</f>
        <v>2.38</v>
      </c>
      <c r="AE80" s="4" t="str">
        <f>HYPERLINK("http://141.218.60.56/~jnz1568/getInfo.php?workbook=11_01.xlsx&amp;sheet=A0&amp;row=80&amp;col=31&amp;number=&amp;sourceID=13","")</f>
        <v/>
      </c>
    </row>
    <row r="81" spans="1:31">
      <c r="A81" s="3">
        <v>11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HYPERLINK("http://141.218.60.56/~jnz1568/getInfo.php?workbook=11_01.xlsx&amp;sheet=A0&amp;row=81&amp;col=6&amp;number=&amp;sourceID=18","")</f>
        <v/>
      </c>
      <c r="G81" s="4" t="str">
        <f>HYPERLINK("http://141.218.60.56/~jnz1568/getInfo.php?workbook=11_01.xlsx&amp;sheet=A0&amp;row=81&amp;col=7&amp;number==&amp;sourceID=11","=")</f>
        <v>=</v>
      </c>
      <c r="H81" s="4" t="str">
        <f>HYPERLINK("http://141.218.60.56/~jnz1568/getInfo.php?workbook=11_01.xlsx&amp;sheet=A0&amp;row=81&amp;col=8&amp;number=&amp;sourceID=11","")</f>
        <v/>
      </c>
      <c r="I81" s="4" t="str">
        <f>HYPERLINK("http://141.218.60.56/~jnz1568/getInfo.php?workbook=11_01.xlsx&amp;sheet=A0&amp;row=81&amp;col=9&amp;number=8055100&amp;sourceID=11","8055100")</f>
        <v>8055100</v>
      </c>
      <c r="J81" s="4" t="str">
        <f>HYPERLINK("http://141.218.60.56/~jnz1568/getInfo.php?workbook=11_01.xlsx&amp;sheet=A0&amp;row=81&amp;col=10&amp;number=&amp;sourceID=11","")</f>
        <v/>
      </c>
      <c r="K81" s="4" t="str">
        <f>HYPERLINK("http://141.218.60.56/~jnz1568/getInfo.php?workbook=11_01.xlsx&amp;sheet=A0&amp;row=81&amp;col=11&amp;number=&amp;sourceID=11","")</f>
        <v/>
      </c>
      <c r="L81" s="4" t="str">
        <f>HYPERLINK("http://141.218.60.56/~jnz1568/getInfo.php?workbook=11_01.xlsx&amp;sheet=A0&amp;row=81&amp;col=12&amp;number=&amp;sourceID=11","")</f>
        <v/>
      </c>
      <c r="M81" s="4" t="str">
        <f>HYPERLINK("http://141.218.60.56/~jnz1568/getInfo.php?workbook=11_01.xlsx&amp;sheet=A0&amp;row=81&amp;col=13&amp;number=0.00090159&amp;sourceID=11","0.00090159")</f>
        <v>0.00090159</v>
      </c>
      <c r="N81" s="4" t="str">
        <f>HYPERLINK("http://141.218.60.56/~jnz1568/getInfo.php?workbook=11_01.xlsx&amp;sheet=A0&amp;row=81&amp;col=14&amp;number=8055300&amp;sourceID=12","8055300")</f>
        <v>8055300</v>
      </c>
      <c r="O81" s="4" t="str">
        <f>HYPERLINK("http://141.218.60.56/~jnz1568/getInfo.php?workbook=11_01.xlsx&amp;sheet=A0&amp;row=81&amp;col=15&amp;number=&amp;sourceID=12","")</f>
        <v/>
      </c>
      <c r="P81" s="4" t="str">
        <f>HYPERLINK("http://141.218.60.56/~jnz1568/getInfo.php?workbook=11_01.xlsx&amp;sheet=A0&amp;row=81&amp;col=16&amp;number=8055300&amp;sourceID=12","8055300")</f>
        <v>8055300</v>
      </c>
      <c r="Q81" s="4" t="str">
        <f>HYPERLINK("http://141.218.60.56/~jnz1568/getInfo.php?workbook=11_01.xlsx&amp;sheet=A0&amp;row=81&amp;col=17&amp;number=&amp;sourceID=12","")</f>
        <v/>
      </c>
      <c r="R81" s="4" t="str">
        <f>HYPERLINK("http://141.218.60.56/~jnz1568/getInfo.php?workbook=11_01.xlsx&amp;sheet=A0&amp;row=81&amp;col=18&amp;number=&amp;sourceID=12","")</f>
        <v/>
      </c>
      <c r="S81" s="4" t="str">
        <f>HYPERLINK("http://141.218.60.56/~jnz1568/getInfo.php?workbook=11_01.xlsx&amp;sheet=A0&amp;row=81&amp;col=19&amp;number=&amp;sourceID=12","")</f>
        <v/>
      </c>
      <c r="T81" s="4" t="str">
        <f>HYPERLINK("http://141.218.60.56/~jnz1568/getInfo.php?workbook=11_01.xlsx&amp;sheet=A0&amp;row=81&amp;col=20&amp;number=0.00090161&amp;sourceID=12","0.00090161")</f>
        <v>0.00090161</v>
      </c>
      <c r="U81" s="4" t="str">
        <f>HYPERLINK("http://141.218.60.56/~jnz1568/getInfo.php?workbook=11_01.xlsx&amp;sheet=A0&amp;row=81&amp;col=21&amp;number=8055000&amp;sourceID=30","8055000")</f>
        <v>8055000</v>
      </c>
      <c r="V81" s="4" t="str">
        <f>HYPERLINK("http://141.218.60.56/~jnz1568/getInfo.php?workbook=11_01.xlsx&amp;sheet=A0&amp;row=81&amp;col=22&amp;number=&amp;sourceID=30","")</f>
        <v/>
      </c>
      <c r="W81" s="4" t="str">
        <f>HYPERLINK("http://141.218.60.56/~jnz1568/getInfo.php?workbook=11_01.xlsx&amp;sheet=A0&amp;row=81&amp;col=23&amp;number=8055000&amp;sourceID=30","8055000")</f>
        <v>8055000</v>
      </c>
      <c r="X81" s="4" t="str">
        <f>HYPERLINK("http://141.218.60.56/~jnz1568/getInfo.php?workbook=11_01.xlsx&amp;sheet=A0&amp;row=81&amp;col=24&amp;number=&amp;sourceID=30","")</f>
        <v/>
      </c>
      <c r="Y81" s="4" t="str">
        <f>HYPERLINK("http://141.218.60.56/~jnz1568/getInfo.php?workbook=11_01.xlsx&amp;sheet=A0&amp;row=81&amp;col=25&amp;number=&amp;sourceID=30","")</f>
        <v/>
      </c>
      <c r="Z81" s="4" t="str">
        <f>HYPERLINK("http://141.218.60.56/~jnz1568/getInfo.php?workbook=11_01.xlsx&amp;sheet=A0&amp;row=81&amp;col=26&amp;number==&amp;sourceID=13","=")</f>
        <v>=</v>
      </c>
      <c r="AA81" s="4" t="str">
        <f>HYPERLINK("http://141.218.60.56/~jnz1568/getInfo.php?workbook=11_01.xlsx&amp;sheet=A0&amp;row=81&amp;col=27&amp;number=&amp;sourceID=13","")</f>
        <v/>
      </c>
      <c r="AB81" s="4" t="str">
        <f>HYPERLINK("http://141.218.60.56/~jnz1568/getInfo.php?workbook=11_01.xlsx&amp;sheet=A0&amp;row=81&amp;col=28&amp;number=8050000&amp;sourceID=13","8050000")</f>
        <v>8050000</v>
      </c>
      <c r="AC81" s="4" t="str">
        <f>HYPERLINK("http://141.218.60.56/~jnz1568/getInfo.php?workbook=11_01.xlsx&amp;sheet=A0&amp;row=81&amp;col=29&amp;number=&amp;sourceID=13","")</f>
        <v/>
      </c>
      <c r="AD81" s="4" t="str">
        <f>HYPERLINK("http://141.218.60.56/~jnz1568/getInfo.php?workbook=11_01.xlsx&amp;sheet=A0&amp;row=81&amp;col=30&amp;number=&amp;sourceID=13","")</f>
        <v/>
      </c>
      <c r="AE81" s="4" t="str">
        <f>HYPERLINK("http://141.218.60.56/~jnz1568/getInfo.php?workbook=11_01.xlsx&amp;sheet=A0&amp;row=81&amp;col=31&amp;number=&amp;sourceID=13","")</f>
        <v/>
      </c>
    </row>
    <row r="82" spans="1:31">
      <c r="A82" s="3">
        <v>11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HYPERLINK("http://141.218.60.56/~jnz1568/getInfo.php?workbook=11_01.xlsx&amp;sheet=A0&amp;row=82&amp;col=6&amp;number=&amp;sourceID=18","")</f>
        <v/>
      </c>
      <c r="G82" s="4" t="str">
        <f>HYPERLINK("http://141.218.60.56/~jnz1568/getInfo.php?workbook=11_01.xlsx&amp;sheet=A0&amp;row=82&amp;col=7&amp;number==&amp;sourceID=11","=")</f>
        <v>=</v>
      </c>
      <c r="H82" s="4" t="str">
        <f>HYPERLINK("http://141.218.60.56/~jnz1568/getInfo.php?workbook=11_01.xlsx&amp;sheet=A0&amp;row=82&amp;col=8&amp;number=&amp;sourceID=11","")</f>
        <v/>
      </c>
      <c r="I82" s="4" t="str">
        <f>HYPERLINK("http://141.218.60.56/~jnz1568/getInfo.php?workbook=11_01.xlsx&amp;sheet=A0&amp;row=82&amp;col=9&amp;number=&amp;sourceID=11","")</f>
        <v/>
      </c>
      <c r="J82" s="4" t="str">
        <f>HYPERLINK("http://141.218.60.56/~jnz1568/getInfo.php?workbook=11_01.xlsx&amp;sheet=A0&amp;row=82&amp;col=10&amp;number=243.53&amp;sourceID=11","243.53")</f>
        <v>243.53</v>
      </c>
      <c r="K82" s="4" t="str">
        <f>HYPERLINK("http://141.218.60.56/~jnz1568/getInfo.php?workbook=11_01.xlsx&amp;sheet=A0&amp;row=82&amp;col=11&amp;number=&amp;sourceID=11","")</f>
        <v/>
      </c>
      <c r="L82" s="4" t="str">
        <f>HYPERLINK("http://141.218.60.56/~jnz1568/getInfo.php?workbook=11_01.xlsx&amp;sheet=A0&amp;row=82&amp;col=12&amp;number=1.2292e-06&amp;sourceID=11","1.2292e-06")</f>
        <v>1.2292e-06</v>
      </c>
      <c r="M82" s="4" t="str">
        <f>HYPERLINK("http://141.218.60.56/~jnz1568/getInfo.php?workbook=11_01.xlsx&amp;sheet=A0&amp;row=82&amp;col=13&amp;number=&amp;sourceID=11","")</f>
        <v/>
      </c>
      <c r="N82" s="4" t="str">
        <f>HYPERLINK("http://141.218.60.56/~jnz1568/getInfo.php?workbook=11_01.xlsx&amp;sheet=A0&amp;row=82&amp;col=14&amp;number=243.54&amp;sourceID=12","243.54")</f>
        <v>243.54</v>
      </c>
      <c r="O82" s="4" t="str">
        <f>HYPERLINK("http://141.218.60.56/~jnz1568/getInfo.php?workbook=11_01.xlsx&amp;sheet=A0&amp;row=82&amp;col=15&amp;number=&amp;sourceID=12","")</f>
        <v/>
      </c>
      <c r="P82" s="4" t="str">
        <f>HYPERLINK("http://141.218.60.56/~jnz1568/getInfo.php?workbook=11_01.xlsx&amp;sheet=A0&amp;row=82&amp;col=16&amp;number=&amp;sourceID=12","")</f>
        <v/>
      </c>
      <c r="Q82" s="4" t="str">
        <f>HYPERLINK("http://141.218.60.56/~jnz1568/getInfo.php?workbook=11_01.xlsx&amp;sheet=A0&amp;row=82&amp;col=17&amp;number=243.54&amp;sourceID=12","243.54")</f>
        <v>243.54</v>
      </c>
      <c r="R82" s="4" t="str">
        <f>HYPERLINK("http://141.218.60.56/~jnz1568/getInfo.php?workbook=11_01.xlsx&amp;sheet=A0&amp;row=82&amp;col=18&amp;number=&amp;sourceID=12","")</f>
        <v/>
      </c>
      <c r="S82" s="4" t="str">
        <f>HYPERLINK("http://141.218.60.56/~jnz1568/getInfo.php?workbook=11_01.xlsx&amp;sheet=A0&amp;row=82&amp;col=19&amp;number=1.2292e-06&amp;sourceID=12","1.2292e-06")</f>
        <v>1.2292e-06</v>
      </c>
      <c r="T82" s="4" t="str">
        <f>HYPERLINK("http://141.218.60.56/~jnz1568/getInfo.php?workbook=11_01.xlsx&amp;sheet=A0&amp;row=82&amp;col=20&amp;number=&amp;sourceID=12","")</f>
        <v/>
      </c>
      <c r="U82" s="4" t="str">
        <f>HYPERLINK("http://141.218.60.56/~jnz1568/getInfo.php?workbook=11_01.xlsx&amp;sheet=A0&amp;row=82&amp;col=21&amp;number=1.229e-06&amp;sourceID=30","1.229e-06")</f>
        <v>1.229e-06</v>
      </c>
      <c r="V82" s="4" t="str">
        <f>HYPERLINK("http://141.218.60.56/~jnz1568/getInfo.php?workbook=11_01.xlsx&amp;sheet=A0&amp;row=82&amp;col=22&amp;number=&amp;sourceID=30","")</f>
        <v/>
      </c>
      <c r="W82" s="4" t="str">
        <f>HYPERLINK("http://141.218.60.56/~jnz1568/getInfo.php?workbook=11_01.xlsx&amp;sheet=A0&amp;row=82&amp;col=23&amp;number=&amp;sourceID=30","")</f>
        <v/>
      </c>
      <c r="X82" s="4" t="str">
        <f>HYPERLINK("http://141.218.60.56/~jnz1568/getInfo.php?workbook=11_01.xlsx&amp;sheet=A0&amp;row=82&amp;col=24&amp;number=&amp;sourceID=30","")</f>
        <v/>
      </c>
      <c r="Y82" s="4" t="str">
        <f>HYPERLINK("http://141.218.60.56/~jnz1568/getInfo.php?workbook=11_01.xlsx&amp;sheet=A0&amp;row=82&amp;col=25&amp;number=1.229e-06&amp;sourceID=30","1.229e-06")</f>
        <v>1.229e-06</v>
      </c>
      <c r="Z82" s="4" t="str">
        <f>HYPERLINK("http://141.218.60.56/~jnz1568/getInfo.php?workbook=11_01.xlsx&amp;sheet=A0&amp;row=82&amp;col=26&amp;number==&amp;sourceID=13","=")</f>
        <v>=</v>
      </c>
      <c r="AA82" s="4" t="str">
        <f>HYPERLINK("http://141.218.60.56/~jnz1568/getInfo.php?workbook=11_01.xlsx&amp;sheet=A0&amp;row=82&amp;col=27&amp;number=&amp;sourceID=13","")</f>
        <v/>
      </c>
      <c r="AB82" s="4" t="str">
        <f>HYPERLINK("http://141.218.60.56/~jnz1568/getInfo.php?workbook=11_01.xlsx&amp;sheet=A0&amp;row=82&amp;col=28&amp;number=&amp;sourceID=13","")</f>
        <v/>
      </c>
      <c r="AC82" s="4" t="str">
        <f>HYPERLINK("http://141.218.60.56/~jnz1568/getInfo.php?workbook=11_01.xlsx&amp;sheet=A0&amp;row=82&amp;col=29&amp;number=243&amp;sourceID=13","243")</f>
        <v>243</v>
      </c>
      <c r="AD82" s="4" t="str">
        <f>HYPERLINK("http://141.218.60.56/~jnz1568/getInfo.php?workbook=11_01.xlsx&amp;sheet=A0&amp;row=82&amp;col=30&amp;number=&amp;sourceID=13","")</f>
        <v/>
      </c>
      <c r="AE82" s="4" t="str">
        <f>HYPERLINK("http://141.218.60.56/~jnz1568/getInfo.php?workbook=11_01.xlsx&amp;sheet=A0&amp;row=82&amp;col=31&amp;number=&amp;sourceID=13","")</f>
        <v/>
      </c>
    </row>
    <row r="83" spans="1:31">
      <c r="A83" s="3">
        <v>11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HYPERLINK("http://141.218.60.56/~jnz1568/getInfo.php?workbook=11_01.xlsx&amp;sheet=A0&amp;row=83&amp;col=6&amp;number=&amp;sourceID=18","")</f>
        <v/>
      </c>
      <c r="G83" s="4" t="str">
        <f>HYPERLINK("http://141.218.60.56/~jnz1568/getInfo.php?workbook=11_01.xlsx&amp;sheet=A0&amp;row=83&amp;col=7&amp;number==&amp;sourceID=11","=")</f>
        <v>=</v>
      </c>
      <c r="H83" s="4" t="str">
        <f>HYPERLINK("http://141.218.60.56/~jnz1568/getInfo.php?workbook=11_01.xlsx&amp;sheet=A0&amp;row=83&amp;col=8&amp;number=188650000000&amp;sourceID=11","188650000000")</f>
        <v>188650000000</v>
      </c>
      <c r="I83" s="4" t="str">
        <f>HYPERLINK("http://141.218.60.56/~jnz1568/getInfo.php?workbook=11_01.xlsx&amp;sheet=A0&amp;row=83&amp;col=9&amp;number=&amp;sourceID=11","")</f>
        <v/>
      </c>
      <c r="J83" s="4" t="str">
        <f>HYPERLINK("http://141.218.60.56/~jnz1568/getInfo.php?workbook=11_01.xlsx&amp;sheet=A0&amp;row=83&amp;col=10&amp;number=69.501&amp;sourceID=11","69.501")</f>
        <v>69.501</v>
      </c>
      <c r="K83" s="4" t="str">
        <f>HYPERLINK("http://141.218.60.56/~jnz1568/getInfo.php?workbook=11_01.xlsx&amp;sheet=A0&amp;row=83&amp;col=11&amp;number=&amp;sourceID=11","")</f>
        <v/>
      </c>
      <c r="L83" s="4" t="str">
        <f>HYPERLINK("http://141.218.60.56/~jnz1568/getInfo.php?workbook=11_01.xlsx&amp;sheet=A0&amp;row=83&amp;col=12&amp;number=206.86&amp;sourceID=11","206.86")</f>
        <v>206.86</v>
      </c>
      <c r="M83" s="4" t="str">
        <f>HYPERLINK("http://141.218.60.56/~jnz1568/getInfo.php?workbook=11_01.xlsx&amp;sheet=A0&amp;row=83&amp;col=13&amp;number=&amp;sourceID=11","")</f>
        <v/>
      </c>
      <c r="N83" s="4" t="str">
        <f>HYPERLINK("http://141.218.60.56/~jnz1568/getInfo.php?workbook=11_01.xlsx&amp;sheet=A0&amp;row=83&amp;col=14&amp;number=188660000000&amp;sourceID=12","188660000000")</f>
        <v>188660000000</v>
      </c>
      <c r="O83" s="4" t="str">
        <f>HYPERLINK("http://141.218.60.56/~jnz1568/getInfo.php?workbook=11_01.xlsx&amp;sheet=A0&amp;row=83&amp;col=15&amp;number=188660000000&amp;sourceID=12","188660000000")</f>
        <v>188660000000</v>
      </c>
      <c r="P83" s="4" t="str">
        <f>HYPERLINK("http://141.218.60.56/~jnz1568/getInfo.php?workbook=11_01.xlsx&amp;sheet=A0&amp;row=83&amp;col=16&amp;number=&amp;sourceID=12","")</f>
        <v/>
      </c>
      <c r="Q83" s="4" t="str">
        <f>HYPERLINK("http://141.218.60.56/~jnz1568/getInfo.php?workbook=11_01.xlsx&amp;sheet=A0&amp;row=83&amp;col=17&amp;number=69.502&amp;sourceID=12","69.502")</f>
        <v>69.502</v>
      </c>
      <c r="R83" s="4" t="str">
        <f>HYPERLINK("http://141.218.60.56/~jnz1568/getInfo.php?workbook=11_01.xlsx&amp;sheet=A0&amp;row=83&amp;col=18&amp;number=&amp;sourceID=12","")</f>
        <v/>
      </c>
      <c r="S83" s="4" t="str">
        <f>HYPERLINK("http://141.218.60.56/~jnz1568/getInfo.php?workbook=11_01.xlsx&amp;sheet=A0&amp;row=83&amp;col=19&amp;number=206.86&amp;sourceID=12","206.86")</f>
        <v>206.86</v>
      </c>
      <c r="T83" s="4" t="str">
        <f>HYPERLINK("http://141.218.60.56/~jnz1568/getInfo.php?workbook=11_01.xlsx&amp;sheet=A0&amp;row=83&amp;col=20&amp;number=&amp;sourceID=12","")</f>
        <v/>
      </c>
      <c r="U83" s="4" t="str">
        <f>HYPERLINK("http://141.218.60.56/~jnz1568/getInfo.php?workbook=11_01.xlsx&amp;sheet=A0&amp;row=83&amp;col=21&amp;number=1.88700000207e+11&amp;sourceID=30","1.88700000207e+11")</f>
        <v>1.88700000207e+11</v>
      </c>
      <c r="V83" s="4" t="str">
        <f>HYPERLINK("http://141.218.60.56/~jnz1568/getInfo.php?workbook=11_01.xlsx&amp;sheet=A0&amp;row=83&amp;col=22&amp;number=188700000000&amp;sourceID=30","188700000000")</f>
        <v>188700000000</v>
      </c>
      <c r="W83" s="4" t="str">
        <f>HYPERLINK("http://141.218.60.56/~jnz1568/getInfo.php?workbook=11_01.xlsx&amp;sheet=A0&amp;row=83&amp;col=23&amp;number=&amp;sourceID=30","")</f>
        <v/>
      </c>
      <c r="X83" s="4" t="str">
        <f>HYPERLINK("http://141.218.60.56/~jnz1568/getInfo.php?workbook=11_01.xlsx&amp;sheet=A0&amp;row=83&amp;col=24&amp;number=&amp;sourceID=30","")</f>
        <v/>
      </c>
      <c r="Y83" s="4" t="str">
        <f>HYPERLINK("http://141.218.60.56/~jnz1568/getInfo.php?workbook=11_01.xlsx&amp;sheet=A0&amp;row=83&amp;col=25&amp;number=206.9&amp;sourceID=30","206.9")</f>
        <v>206.9</v>
      </c>
      <c r="Z83" s="4" t="str">
        <f>HYPERLINK("http://141.218.60.56/~jnz1568/getInfo.php?workbook=11_01.xlsx&amp;sheet=A0&amp;row=83&amp;col=26&amp;number==&amp;sourceID=13","=")</f>
        <v>=</v>
      </c>
      <c r="AA83" s="4" t="str">
        <f>HYPERLINK("http://141.218.60.56/~jnz1568/getInfo.php?workbook=11_01.xlsx&amp;sheet=A0&amp;row=83&amp;col=27&amp;number=189000000000&amp;sourceID=13","189000000000")</f>
        <v>189000000000</v>
      </c>
      <c r="AB83" s="4" t="str">
        <f>HYPERLINK("http://141.218.60.56/~jnz1568/getInfo.php?workbook=11_01.xlsx&amp;sheet=A0&amp;row=83&amp;col=28&amp;number=&amp;sourceID=13","")</f>
        <v/>
      </c>
      <c r="AC83" s="4" t="str">
        <f>HYPERLINK("http://141.218.60.56/~jnz1568/getInfo.php?workbook=11_01.xlsx&amp;sheet=A0&amp;row=83&amp;col=29&amp;number=&amp;sourceID=13","")</f>
        <v/>
      </c>
      <c r="AD83" s="4" t="str">
        <f>HYPERLINK("http://141.218.60.56/~jnz1568/getInfo.php?workbook=11_01.xlsx&amp;sheet=A0&amp;row=83&amp;col=30&amp;number=&amp;sourceID=13","")</f>
        <v/>
      </c>
      <c r="AE83" s="4" t="str">
        <f>HYPERLINK("http://141.218.60.56/~jnz1568/getInfo.php?workbook=11_01.xlsx&amp;sheet=A0&amp;row=83&amp;col=31&amp;number=&amp;sourceID=13","")</f>
        <v/>
      </c>
    </row>
    <row r="84" spans="1:31">
      <c r="A84" s="3">
        <v>11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HYPERLINK("http://141.218.60.56/~jnz1568/getInfo.php?workbook=11_01.xlsx&amp;sheet=A0&amp;row=84&amp;col=6&amp;number=&amp;sourceID=18","")</f>
        <v/>
      </c>
      <c r="G84" s="4" t="str">
        <f>HYPERLINK("http://141.218.60.56/~jnz1568/getInfo.php?workbook=11_01.xlsx&amp;sheet=A0&amp;row=84&amp;col=7&amp;number==&amp;sourceID=11","=")</f>
        <v>=</v>
      </c>
      <c r="H84" s="4" t="str">
        <f>HYPERLINK("http://141.218.60.56/~jnz1568/getInfo.php?workbook=11_01.xlsx&amp;sheet=A0&amp;row=84&amp;col=8&amp;number=&amp;sourceID=11","")</f>
        <v/>
      </c>
      <c r="I84" s="4" t="str">
        <f>HYPERLINK("http://141.218.60.56/~jnz1568/getInfo.php?workbook=11_01.xlsx&amp;sheet=A0&amp;row=84&amp;col=9&amp;number=2282800&amp;sourceID=11","2282800")</f>
        <v>2282800</v>
      </c>
      <c r="J84" s="4" t="str">
        <f>HYPERLINK("http://141.218.60.56/~jnz1568/getInfo.php?workbook=11_01.xlsx&amp;sheet=A0&amp;row=84&amp;col=10&amp;number=&amp;sourceID=11","")</f>
        <v/>
      </c>
      <c r="K84" s="4" t="str">
        <f>HYPERLINK("http://141.218.60.56/~jnz1568/getInfo.php?workbook=11_01.xlsx&amp;sheet=A0&amp;row=84&amp;col=11&amp;number=0.037709&amp;sourceID=11","0.037709")</f>
        <v>0.037709</v>
      </c>
      <c r="L84" s="4" t="str">
        <f>HYPERLINK("http://141.218.60.56/~jnz1568/getInfo.php?workbook=11_01.xlsx&amp;sheet=A0&amp;row=84&amp;col=12&amp;number=&amp;sourceID=11","")</f>
        <v/>
      </c>
      <c r="M84" s="4" t="str">
        <f>HYPERLINK("http://141.218.60.56/~jnz1568/getInfo.php?workbook=11_01.xlsx&amp;sheet=A0&amp;row=84&amp;col=13&amp;number=0.0001781&amp;sourceID=11","0.0001781")</f>
        <v>0.0001781</v>
      </c>
      <c r="N84" s="4" t="str">
        <f>HYPERLINK("http://141.218.60.56/~jnz1568/getInfo.php?workbook=11_01.xlsx&amp;sheet=A0&amp;row=84&amp;col=14&amp;number=2282900&amp;sourceID=12","2282900")</f>
        <v>2282900</v>
      </c>
      <c r="O84" s="4" t="str">
        <f>HYPERLINK("http://141.218.60.56/~jnz1568/getInfo.php?workbook=11_01.xlsx&amp;sheet=A0&amp;row=84&amp;col=15&amp;number=&amp;sourceID=12","")</f>
        <v/>
      </c>
      <c r="P84" s="4" t="str">
        <f>HYPERLINK("http://141.218.60.56/~jnz1568/getInfo.php?workbook=11_01.xlsx&amp;sheet=A0&amp;row=84&amp;col=16&amp;number=2282900&amp;sourceID=12","2282900")</f>
        <v>2282900</v>
      </c>
      <c r="Q84" s="4" t="str">
        <f>HYPERLINK("http://141.218.60.56/~jnz1568/getInfo.php?workbook=11_01.xlsx&amp;sheet=A0&amp;row=84&amp;col=17&amp;number=&amp;sourceID=12","")</f>
        <v/>
      </c>
      <c r="R84" s="4" t="str">
        <f>HYPERLINK("http://141.218.60.56/~jnz1568/getInfo.php?workbook=11_01.xlsx&amp;sheet=A0&amp;row=84&amp;col=18&amp;number=0.03771&amp;sourceID=12","0.03771")</f>
        <v>0.03771</v>
      </c>
      <c r="S84" s="4" t="str">
        <f>HYPERLINK("http://141.218.60.56/~jnz1568/getInfo.php?workbook=11_01.xlsx&amp;sheet=A0&amp;row=84&amp;col=19&amp;number=&amp;sourceID=12","")</f>
        <v/>
      </c>
      <c r="T84" s="4" t="str">
        <f>HYPERLINK("http://141.218.60.56/~jnz1568/getInfo.php?workbook=11_01.xlsx&amp;sheet=A0&amp;row=84&amp;col=20&amp;number=0.0001781&amp;sourceID=12","0.0001781")</f>
        <v>0.0001781</v>
      </c>
      <c r="U84" s="4" t="str">
        <f>HYPERLINK("http://141.218.60.56/~jnz1568/getInfo.php?workbook=11_01.xlsx&amp;sheet=A0&amp;row=84&amp;col=21&amp;number=2283000.03771&amp;sourceID=30","2283000.03771")</f>
        <v>2283000.03771</v>
      </c>
      <c r="V84" s="4" t="str">
        <f>HYPERLINK("http://141.218.60.56/~jnz1568/getInfo.php?workbook=11_01.xlsx&amp;sheet=A0&amp;row=84&amp;col=22&amp;number=&amp;sourceID=30","")</f>
        <v/>
      </c>
      <c r="W84" s="4" t="str">
        <f>HYPERLINK("http://141.218.60.56/~jnz1568/getInfo.php?workbook=11_01.xlsx&amp;sheet=A0&amp;row=84&amp;col=23&amp;number=2283000&amp;sourceID=30","2283000")</f>
        <v>2283000</v>
      </c>
      <c r="X84" s="4" t="str">
        <f>HYPERLINK("http://141.218.60.56/~jnz1568/getInfo.php?workbook=11_01.xlsx&amp;sheet=A0&amp;row=84&amp;col=24&amp;number=0.03771&amp;sourceID=30","0.03771")</f>
        <v>0.03771</v>
      </c>
      <c r="Y84" s="4" t="str">
        <f>HYPERLINK("http://141.218.60.56/~jnz1568/getInfo.php?workbook=11_01.xlsx&amp;sheet=A0&amp;row=84&amp;col=25&amp;number=&amp;sourceID=30","")</f>
        <v/>
      </c>
      <c r="Z84" s="4" t="str">
        <f>HYPERLINK("http://141.218.60.56/~jnz1568/getInfo.php?workbook=11_01.xlsx&amp;sheet=A0&amp;row=84&amp;col=26&amp;number==&amp;sourceID=13","=")</f>
        <v>=</v>
      </c>
      <c r="AA84" s="4" t="str">
        <f>HYPERLINK("http://141.218.60.56/~jnz1568/getInfo.php?workbook=11_01.xlsx&amp;sheet=A0&amp;row=84&amp;col=27&amp;number=&amp;sourceID=13","")</f>
        <v/>
      </c>
      <c r="AB84" s="4" t="str">
        <f>HYPERLINK("http://141.218.60.56/~jnz1568/getInfo.php?workbook=11_01.xlsx&amp;sheet=A0&amp;row=84&amp;col=28&amp;number=2280000&amp;sourceID=13","2280000")</f>
        <v>2280000</v>
      </c>
      <c r="AC84" s="4" t="str">
        <f>HYPERLINK("http://141.218.60.56/~jnz1568/getInfo.php?workbook=11_01.xlsx&amp;sheet=A0&amp;row=84&amp;col=29&amp;number=&amp;sourceID=13","")</f>
        <v/>
      </c>
      <c r="AD84" s="4" t="str">
        <f>HYPERLINK("http://141.218.60.56/~jnz1568/getInfo.php?workbook=11_01.xlsx&amp;sheet=A0&amp;row=84&amp;col=30&amp;number=0.0625&amp;sourceID=13","0.0625")</f>
        <v>0.0625</v>
      </c>
      <c r="AE84" s="4" t="str">
        <f>HYPERLINK("http://141.218.60.56/~jnz1568/getInfo.php?workbook=11_01.xlsx&amp;sheet=A0&amp;row=84&amp;col=31&amp;number=&amp;sourceID=13","")</f>
        <v/>
      </c>
    </row>
    <row r="85" spans="1:31">
      <c r="A85" s="3">
        <v>11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HYPERLINK("http://141.218.60.56/~jnz1568/getInfo.php?workbook=11_01.xlsx&amp;sheet=A0&amp;row=85&amp;col=6&amp;number=&amp;sourceID=18","")</f>
        <v/>
      </c>
      <c r="G85" s="4" t="str">
        <f>HYPERLINK("http://141.218.60.56/~jnz1568/getInfo.php?workbook=11_01.xlsx&amp;sheet=A0&amp;row=85&amp;col=7&amp;number==&amp;sourceID=11","=")</f>
        <v>=</v>
      </c>
      <c r="H85" s="4" t="str">
        <f>HYPERLINK("http://141.218.60.56/~jnz1568/getInfo.php?workbook=11_01.xlsx&amp;sheet=A0&amp;row=85&amp;col=8&amp;number=13460000000&amp;sourceID=11","13460000000")</f>
        <v>13460000000</v>
      </c>
      <c r="I85" s="4" t="str">
        <f>HYPERLINK("http://141.218.60.56/~jnz1568/getInfo.php?workbook=11_01.xlsx&amp;sheet=A0&amp;row=85&amp;col=9&amp;number=&amp;sourceID=11","")</f>
        <v/>
      </c>
      <c r="J85" s="4" t="str">
        <f>HYPERLINK("http://141.218.60.56/~jnz1568/getInfo.php?workbook=11_01.xlsx&amp;sheet=A0&amp;row=85&amp;col=10&amp;number=46.165&amp;sourceID=11","46.165")</f>
        <v>46.165</v>
      </c>
      <c r="K85" s="4" t="str">
        <f>HYPERLINK("http://141.218.60.56/~jnz1568/getInfo.php?workbook=11_01.xlsx&amp;sheet=A0&amp;row=85&amp;col=11&amp;number=&amp;sourceID=11","")</f>
        <v/>
      </c>
      <c r="L85" s="4" t="str">
        <f>HYPERLINK("http://141.218.60.56/~jnz1568/getInfo.php?workbook=11_01.xlsx&amp;sheet=A0&amp;row=85&amp;col=12&amp;number=&amp;sourceID=11","")</f>
        <v/>
      </c>
      <c r="M85" s="4" t="str">
        <f>HYPERLINK("http://141.218.60.56/~jnz1568/getInfo.php?workbook=11_01.xlsx&amp;sheet=A0&amp;row=85&amp;col=13&amp;number=&amp;sourceID=11","")</f>
        <v/>
      </c>
      <c r="N85" s="4" t="str">
        <f>HYPERLINK("http://141.218.60.56/~jnz1568/getInfo.php?workbook=11_01.xlsx&amp;sheet=A0&amp;row=85&amp;col=14&amp;number=13460000000&amp;sourceID=12","13460000000")</f>
        <v>13460000000</v>
      </c>
      <c r="O85" s="4" t="str">
        <f>HYPERLINK("http://141.218.60.56/~jnz1568/getInfo.php?workbook=11_01.xlsx&amp;sheet=A0&amp;row=85&amp;col=15&amp;number=13460000000&amp;sourceID=12","13460000000")</f>
        <v>13460000000</v>
      </c>
      <c r="P85" s="4" t="str">
        <f>HYPERLINK("http://141.218.60.56/~jnz1568/getInfo.php?workbook=11_01.xlsx&amp;sheet=A0&amp;row=85&amp;col=16&amp;number=&amp;sourceID=12","")</f>
        <v/>
      </c>
      <c r="Q85" s="4" t="str">
        <f>HYPERLINK("http://141.218.60.56/~jnz1568/getInfo.php?workbook=11_01.xlsx&amp;sheet=A0&amp;row=85&amp;col=17&amp;number=46.166&amp;sourceID=12","46.166")</f>
        <v>46.166</v>
      </c>
      <c r="R85" s="4" t="str">
        <f>HYPERLINK("http://141.218.60.56/~jnz1568/getInfo.php?workbook=11_01.xlsx&amp;sheet=A0&amp;row=85&amp;col=18&amp;number=&amp;sourceID=12","")</f>
        <v/>
      </c>
      <c r="S85" s="4" t="str">
        <f>HYPERLINK("http://141.218.60.56/~jnz1568/getInfo.php?workbook=11_01.xlsx&amp;sheet=A0&amp;row=85&amp;col=19&amp;number=&amp;sourceID=12","")</f>
        <v/>
      </c>
      <c r="T85" s="4" t="str">
        <f>HYPERLINK("http://141.218.60.56/~jnz1568/getInfo.php?workbook=11_01.xlsx&amp;sheet=A0&amp;row=85&amp;col=20&amp;number=&amp;sourceID=12","")</f>
        <v/>
      </c>
      <c r="U85" s="4" t="str">
        <f>HYPERLINK("http://141.218.60.56/~jnz1568/getInfo.php?workbook=11_01.xlsx&amp;sheet=A0&amp;row=85&amp;col=21&amp;number=13460000000&amp;sourceID=30","13460000000")</f>
        <v>13460000000</v>
      </c>
      <c r="V85" s="4" t="str">
        <f>HYPERLINK("http://141.218.60.56/~jnz1568/getInfo.php?workbook=11_01.xlsx&amp;sheet=A0&amp;row=85&amp;col=22&amp;number=13460000000&amp;sourceID=30","13460000000")</f>
        <v>13460000000</v>
      </c>
      <c r="W85" s="4" t="str">
        <f>HYPERLINK("http://141.218.60.56/~jnz1568/getInfo.php?workbook=11_01.xlsx&amp;sheet=A0&amp;row=85&amp;col=23&amp;number=&amp;sourceID=30","")</f>
        <v/>
      </c>
      <c r="X85" s="4" t="str">
        <f>HYPERLINK("http://141.218.60.56/~jnz1568/getInfo.php?workbook=11_01.xlsx&amp;sheet=A0&amp;row=85&amp;col=24&amp;number=&amp;sourceID=30","")</f>
        <v/>
      </c>
      <c r="Y85" s="4" t="str">
        <f>HYPERLINK("http://141.218.60.56/~jnz1568/getInfo.php?workbook=11_01.xlsx&amp;sheet=A0&amp;row=85&amp;col=25&amp;number=&amp;sourceID=30","")</f>
        <v/>
      </c>
      <c r="Z85" s="4" t="str">
        <f>HYPERLINK("http://141.218.60.56/~jnz1568/getInfo.php?workbook=11_01.xlsx&amp;sheet=A0&amp;row=85&amp;col=26&amp;number==&amp;sourceID=13","=")</f>
        <v>=</v>
      </c>
      <c r="AA85" s="4" t="str">
        <f>HYPERLINK("http://141.218.60.56/~jnz1568/getInfo.php?workbook=11_01.xlsx&amp;sheet=A0&amp;row=85&amp;col=27&amp;number=13500000000&amp;sourceID=13","13500000000")</f>
        <v>13500000000</v>
      </c>
      <c r="AB85" s="4" t="str">
        <f>HYPERLINK("http://141.218.60.56/~jnz1568/getInfo.php?workbook=11_01.xlsx&amp;sheet=A0&amp;row=85&amp;col=28&amp;number=&amp;sourceID=13","")</f>
        <v/>
      </c>
      <c r="AC85" s="4" t="str">
        <f>HYPERLINK("http://141.218.60.56/~jnz1568/getInfo.php?workbook=11_01.xlsx&amp;sheet=A0&amp;row=85&amp;col=29&amp;number=&amp;sourceID=13","")</f>
        <v/>
      </c>
      <c r="AD85" s="4" t="str">
        <f>HYPERLINK("http://141.218.60.56/~jnz1568/getInfo.php?workbook=11_01.xlsx&amp;sheet=A0&amp;row=85&amp;col=30&amp;number=&amp;sourceID=13","")</f>
        <v/>
      </c>
      <c r="AE85" s="4" t="str">
        <f>HYPERLINK("http://141.218.60.56/~jnz1568/getInfo.php?workbook=11_01.xlsx&amp;sheet=A0&amp;row=85&amp;col=31&amp;number=&amp;sourceID=13","")</f>
        <v/>
      </c>
    </row>
    <row r="86" spans="1:31">
      <c r="A86" s="3">
        <v>11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HYPERLINK("http://141.218.60.56/~jnz1568/getInfo.php?workbook=11_01.xlsx&amp;sheet=A0&amp;row=86&amp;col=6&amp;number=&amp;sourceID=18","")</f>
        <v/>
      </c>
      <c r="G86" s="4" t="str">
        <f>HYPERLINK("http://141.218.60.56/~jnz1568/getInfo.php?workbook=11_01.xlsx&amp;sheet=A0&amp;row=86&amp;col=7&amp;number==&amp;sourceID=11","=")</f>
        <v>=</v>
      </c>
      <c r="H86" s="4" t="str">
        <f>HYPERLINK("http://141.218.60.56/~jnz1568/getInfo.php?workbook=11_01.xlsx&amp;sheet=A0&amp;row=86&amp;col=8&amp;number=&amp;sourceID=11","")</f>
        <v/>
      </c>
      <c r="I86" s="4" t="str">
        <f>HYPERLINK("http://141.218.60.56/~jnz1568/getInfo.php?workbook=11_01.xlsx&amp;sheet=A0&amp;row=86&amp;col=9&amp;number=1.175e-07&amp;sourceID=11","1.175e-07")</f>
        <v>1.175e-07</v>
      </c>
      <c r="J86" s="4" t="str">
        <f>HYPERLINK("http://141.218.60.56/~jnz1568/getInfo.php?workbook=11_01.xlsx&amp;sheet=A0&amp;row=86&amp;col=10&amp;number=&amp;sourceID=11","")</f>
        <v/>
      </c>
      <c r="K86" s="4" t="str">
        <f>HYPERLINK("http://141.218.60.56/~jnz1568/getInfo.php?workbook=11_01.xlsx&amp;sheet=A0&amp;row=86&amp;col=11&amp;number=&amp;sourceID=11","")</f>
        <v/>
      </c>
      <c r="L86" s="4" t="str">
        <f>HYPERLINK("http://141.218.60.56/~jnz1568/getInfo.php?workbook=11_01.xlsx&amp;sheet=A0&amp;row=86&amp;col=12&amp;number=&amp;sourceID=11","")</f>
        <v/>
      </c>
      <c r="M86" s="4" t="str">
        <f>HYPERLINK("http://141.218.60.56/~jnz1568/getInfo.php?workbook=11_01.xlsx&amp;sheet=A0&amp;row=86&amp;col=13&amp;number=0&amp;sourceID=11","0")</f>
        <v>0</v>
      </c>
      <c r="N86" s="4" t="str">
        <f>HYPERLINK("http://141.218.60.56/~jnz1568/getInfo.php?workbook=11_01.xlsx&amp;sheet=A0&amp;row=86&amp;col=14&amp;number=1.1751e-07&amp;sourceID=12","1.1751e-07")</f>
        <v>1.1751e-07</v>
      </c>
      <c r="O86" s="4" t="str">
        <f>HYPERLINK("http://141.218.60.56/~jnz1568/getInfo.php?workbook=11_01.xlsx&amp;sheet=A0&amp;row=86&amp;col=15&amp;number=&amp;sourceID=12","")</f>
        <v/>
      </c>
      <c r="P86" s="4" t="str">
        <f>HYPERLINK("http://141.218.60.56/~jnz1568/getInfo.php?workbook=11_01.xlsx&amp;sheet=A0&amp;row=86&amp;col=16&amp;number=1.1751e-07&amp;sourceID=12","1.1751e-07")</f>
        <v>1.1751e-07</v>
      </c>
      <c r="Q86" s="4" t="str">
        <f>HYPERLINK("http://141.218.60.56/~jnz1568/getInfo.php?workbook=11_01.xlsx&amp;sheet=A0&amp;row=86&amp;col=17&amp;number=&amp;sourceID=12","")</f>
        <v/>
      </c>
      <c r="R86" s="4" t="str">
        <f>HYPERLINK("http://141.218.60.56/~jnz1568/getInfo.php?workbook=11_01.xlsx&amp;sheet=A0&amp;row=86&amp;col=18&amp;number=&amp;sourceID=12","")</f>
        <v/>
      </c>
      <c r="S86" s="4" t="str">
        <f>HYPERLINK("http://141.218.60.56/~jnz1568/getInfo.php?workbook=11_01.xlsx&amp;sheet=A0&amp;row=86&amp;col=19&amp;number=&amp;sourceID=12","")</f>
        <v/>
      </c>
      <c r="T86" s="4" t="str">
        <f>HYPERLINK("http://141.218.60.56/~jnz1568/getInfo.php?workbook=11_01.xlsx&amp;sheet=A0&amp;row=86&amp;col=20&amp;number=0&amp;sourceID=12","0")</f>
        <v>0</v>
      </c>
      <c r="U86" s="4" t="str">
        <f>HYPERLINK("http://141.218.60.56/~jnz1568/getInfo.php?workbook=11_01.xlsx&amp;sheet=A0&amp;row=86&amp;col=21&amp;number=1.175e-07&amp;sourceID=30","1.175e-07")</f>
        <v>1.175e-07</v>
      </c>
      <c r="V86" s="4" t="str">
        <f>HYPERLINK("http://141.218.60.56/~jnz1568/getInfo.php?workbook=11_01.xlsx&amp;sheet=A0&amp;row=86&amp;col=22&amp;number=&amp;sourceID=30","")</f>
        <v/>
      </c>
      <c r="W86" s="4" t="str">
        <f>HYPERLINK("http://141.218.60.56/~jnz1568/getInfo.php?workbook=11_01.xlsx&amp;sheet=A0&amp;row=86&amp;col=23&amp;number=1.175e-07&amp;sourceID=30","1.175e-07")</f>
        <v>1.175e-07</v>
      </c>
      <c r="X86" s="4" t="str">
        <f>HYPERLINK("http://141.218.60.56/~jnz1568/getInfo.php?workbook=11_01.xlsx&amp;sheet=A0&amp;row=86&amp;col=24&amp;number=&amp;sourceID=30","")</f>
        <v/>
      </c>
      <c r="Y86" s="4" t="str">
        <f>HYPERLINK("http://141.218.60.56/~jnz1568/getInfo.php?workbook=11_01.xlsx&amp;sheet=A0&amp;row=86&amp;col=25&amp;number=&amp;sourceID=30","")</f>
        <v/>
      </c>
      <c r="Z86" s="4" t="str">
        <f>HYPERLINK("http://141.218.60.56/~jnz1568/getInfo.php?workbook=11_01.xlsx&amp;sheet=A0&amp;row=86&amp;col=26&amp;number=&amp;sourceID=13","")</f>
        <v/>
      </c>
      <c r="AA86" s="4" t="str">
        <f>HYPERLINK("http://141.218.60.56/~jnz1568/getInfo.php?workbook=11_01.xlsx&amp;sheet=A0&amp;row=86&amp;col=27&amp;number=&amp;sourceID=13","")</f>
        <v/>
      </c>
      <c r="AB86" s="4" t="str">
        <f>HYPERLINK("http://141.218.60.56/~jnz1568/getInfo.php?workbook=11_01.xlsx&amp;sheet=A0&amp;row=86&amp;col=28&amp;number=&amp;sourceID=13","")</f>
        <v/>
      </c>
      <c r="AC86" s="4" t="str">
        <f>HYPERLINK("http://141.218.60.56/~jnz1568/getInfo.php?workbook=11_01.xlsx&amp;sheet=A0&amp;row=86&amp;col=29&amp;number=&amp;sourceID=13","")</f>
        <v/>
      </c>
      <c r="AD86" s="4" t="str">
        <f>HYPERLINK("http://141.218.60.56/~jnz1568/getInfo.php?workbook=11_01.xlsx&amp;sheet=A0&amp;row=86&amp;col=30&amp;number=&amp;sourceID=13","")</f>
        <v/>
      </c>
      <c r="AE86" s="4" t="str">
        <f>HYPERLINK("http://141.218.60.56/~jnz1568/getInfo.php?workbook=11_01.xlsx&amp;sheet=A0&amp;row=86&amp;col=31&amp;number=&amp;sourceID=13","")</f>
        <v/>
      </c>
    </row>
    <row r="87" spans="1:31">
      <c r="A87" s="3">
        <v>11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HYPERLINK("http://141.218.60.56/~jnz1568/getInfo.php?workbook=11_01.xlsx&amp;sheet=A0&amp;row=87&amp;col=6&amp;number=&amp;sourceID=18","")</f>
        <v/>
      </c>
      <c r="G87" s="4" t="str">
        <f>HYPERLINK("http://141.218.60.56/~jnz1568/getInfo.php?workbook=11_01.xlsx&amp;sheet=A0&amp;row=87&amp;col=7&amp;number==&amp;sourceID=11","=")</f>
        <v>=</v>
      </c>
      <c r="H87" s="4" t="str">
        <f>HYPERLINK("http://141.218.60.56/~jnz1568/getInfo.php?workbook=11_01.xlsx&amp;sheet=A0&amp;row=87&amp;col=8&amp;number=&amp;sourceID=11","")</f>
        <v/>
      </c>
      <c r="I87" s="4" t="str">
        <f>HYPERLINK("http://141.218.60.56/~jnz1568/getInfo.php?workbook=11_01.xlsx&amp;sheet=A0&amp;row=87&amp;col=9&amp;number=&amp;sourceID=11","")</f>
        <v/>
      </c>
      <c r="J87" s="4" t="str">
        <f>HYPERLINK("http://141.218.60.56/~jnz1568/getInfo.php?workbook=11_01.xlsx&amp;sheet=A0&amp;row=87&amp;col=10&amp;number=0&amp;sourceID=11","0")</f>
        <v>0</v>
      </c>
      <c r="K87" s="4" t="str">
        <f>HYPERLINK("http://141.218.60.56/~jnz1568/getInfo.php?workbook=11_01.xlsx&amp;sheet=A0&amp;row=87&amp;col=11&amp;number=&amp;sourceID=11","")</f>
        <v/>
      </c>
      <c r="L87" s="4" t="str">
        <f>HYPERLINK("http://141.218.60.56/~jnz1568/getInfo.php?workbook=11_01.xlsx&amp;sheet=A0&amp;row=87&amp;col=12&amp;number=0&amp;sourceID=11","0")</f>
        <v>0</v>
      </c>
      <c r="M87" s="4" t="str">
        <f>HYPERLINK("http://141.218.60.56/~jnz1568/getInfo.php?workbook=11_01.xlsx&amp;sheet=A0&amp;row=87&amp;col=13&amp;number=&amp;sourceID=11","")</f>
        <v/>
      </c>
      <c r="N87" s="4" t="str">
        <f>HYPERLINK("http://141.218.60.56/~jnz1568/getInfo.php?workbook=11_01.xlsx&amp;sheet=A0&amp;row=87&amp;col=14&amp;number=0&amp;sourceID=12","0")</f>
        <v>0</v>
      </c>
      <c r="O87" s="4" t="str">
        <f>HYPERLINK("http://141.218.60.56/~jnz1568/getInfo.php?workbook=11_01.xlsx&amp;sheet=A0&amp;row=87&amp;col=15&amp;number=&amp;sourceID=12","")</f>
        <v/>
      </c>
      <c r="P87" s="4" t="str">
        <f>HYPERLINK("http://141.218.60.56/~jnz1568/getInfo.php?workbook=11_01.xlsx&amp;sheet=A0&amp;row=87&amp;col=16&amp;number=&amp;sourceID=12","")</f>
        <v/>
      </c>
      <c r="Q87" s="4" t="str">
        <f>HYPERLINK("http://141.218.60.56/~jnz1568/getInfo.php?workbook=11_01.xlsx&amp;sheet=A0&amp;row=87&amp;col=17&amp;number=0&amp;sourceID=12","0")</f>
        <v>0</v>
      </c>
      <c r="R87" s="4" t="str">
        <f>HYPERLINK("http://141.218.60.56/~jnz1568/getInfo.php?workbook=11_01.xlsx&amp;sheet=A0&amp;row=87&amp;col=18&amp;number=&amp;sourceID=12","")</f>
        <v/>
      </c>
      <c r="S87" s="4" t="str">
        <f>HYPERLINK("http://141.218.60.56/~jnz1568/getInfo.php?workbook=11_01.xlsx&amp;sheet=A0&amp;row=87&amp;col=19&amp;number=0&amp;sourceID=12","0")</f>
        <v>0</v>
      </c>
      <c r="T87" s="4" t="str">
        <f>HYPERLINK("http://141.218.60.56/~jnz1568/getInfo.php?workbook=11_01.xlsx&amp;sheet=A0&amp;row=87&amp;col=20&amp;number=&amp;sourceID=12","")</f>
        <v/>
      </c>
      <c r="U87" s="4" t="str">
        <f>HYPERLINK("http://141.218.60.56/~jnz1568/getInfo.php?workbook=11_01.xlsx&amp;sheet=A0&amp;row=87&amp;col=21&amp;number=0&amp;sourceID=30","0")</f>
        <v>0</v>
      </c>
      <c r="V87" s="4" t="str">
        <f>HYPERLINK("http://141.218.60.56/~jnz1568/getInfo.php?workbook=11_01.xlsx&amp;sheet=A0&amp;row=87&amp;col=22&amp;number=&amp;sourceID=30","")</f>
        <v/>
      </c>
      <c r="W87" s="4" t="str">
        <f>HYPERLINK("http://141.218.60.56/~jnz1568/getInfo.php?workbook=11_01.xlsx&amp;sheet=A0&amp;row=87&amp;col=23&amp;number=&amp;sourceID=30","")</f>
        <v/>
      </c>
      <c r="X87" s="4" t="str">
        <f>HYPERLINK("http://141.218.60.56/~jnz1568/getInfo.php?workbook=11_01.xlsx&amp;sheet=A0&amp;row=87&amp;col=24&amp;number=&amp;sourceID=30","")</f>
        <v/>
      </c>
      <c r="Y87" s="4" t="str">
        <f>HYPERLINK("http://141.218.60.56/~jnz1568/getInfo.php?workbook=11_01.xlsx&amp;sheet=A0&amp;row=87&amp;col=25&amp;number=0&amp;sourceID=30","0")</f>
        <v>0</v>
      </c>
      <c r="Z87" s="4" t="str">
        <f>HYPERLINK("http://141.218.60.56/~jnz1568/getInfo.php?workbook=11_01.xlsx&amp;sheet=A0&amp;row=87&amp;col=26&amp;number=&amp;sourceID=13","")</f>
        <v/>
      </c>
      <c r="AA87" s="4" t="str">
        <f>HYPERLINK("http://141.218.60.56/~jnz1568/getInfo.php?workbook=11_01.xlsx&amp;sheet=A0&amp;row=87&amp;col=27&amp;number=&amp;sourceID=13","")</f>
        <v/>
      </c>
      <c r="AB87" s="4" t="str">
        <f>HYPERLINK("http://141.218.60.56/~jnz1568/getInfo.php?workbook=11_01.xlsx&amp;sheet=A0&amp;row=87&amp;col=28&amp;number=&amp;sourceID=13","")</f>
        <v/>
      </c>
      <c r="AC87" s="4" t="str">
        <f>HYPERLINK("http://141.218.60.56/~jnz1568/getInfo.php?workbook=11_01.xlsx&amp;sheet=A0&amp;row=87&amp;col=29&amp;number=&amp;sourceID=13","")</f>
        <v/>
      </c>
      <c r="AD87" s="4" t="str">
        <f>HYPERLINK("http://141.218.60.56/~jnz1568/getInfo.php?workbook=11_01.xlsx&amp;sheet=A0&amp;row=87&amp;col=30&amp;number=&amp;sourceID=13","")</f>
        <v/>
      </c>
      <c r="AE87" s="4" t="str">
        <f>HYPERLINK("http://141.218.60.56/~jnz1568/getInfo.php?workbook=11_01.xlsx&amp;sheet=A0&amp;row=87&amp;col=31&amp;number=&amp;sourceID=13","")</f>
        <v/>
      </c>
    </row>
    <row r="88" spans="1:31">
      <c r="A88" s="3">
        <v>11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HYPERLINK("http://141.218.60.56/~jnz1568/getInfo.php?workbook=11_01.xlsx&amp;sheet=A0&amp;row=88&amp;col=6&amp;number=&amp;sourceID=18","")</f>
        <v/>
      </c>
      <c r="G88" s="4" t="str">
        <f>HYPERLINK("http://141.218.60.56/~jnz1568/getInfo.php?workbook=11_01.xlsx&amp;sheet=A0&amp;row=88&amp;col=7&amp;number==&amp;sourceID=11","=")</f>
        <v>=</v>
      </c>
      <c r="H88" s="4" t="str">
        <f>HYPERLINK("http://141.218.60.56/~jnz1568/getInfo.php?workbook=11_01.xlsx&amp;sheet=A0&amp;row=88&amp;col=8&amp;number=18.731&amp;sourceID=11","18.731")</f>
        <v>18.731</v>
      </c>
      <c r="I88" s="4" t="str">
        <f>HYPERLINK("http://141.218.60.56/~jnz1568/getInfo.php?workbook=11_01.xlsx&amp;sheet=A0&amp;row=88&amp;col=9&amp;number=&amp;sourceID=11","")</f>
        <v/>
      </c>
      <c r="J88" s="4" t="str">
        <f>HYPERLINK("http://141.218.60.56/~jnz1568/getInfo.php?workbook=11_01.xlsx&amp;sheet=A0&amp;row=88&amp;col=10&amp;number=0&amp;sourceID=11","0")</f>
        <v>0</v>
      </c>
      <c r="K88" s="4" t="str">
        <f>HYPERLINK("http://141.218.60.56/~jnz1568/getInfo.php?workbook=11_01.xlsx&amp;sheet=A0&amp;row=88&amp;col=11&amp;number=&amp;sourceID=11","")</f>
        <v/>
      </c>
      <c r="L88" s="4" t="str">
        <f>HYPERLINK("http://141.218.60.56/~jnz1568/getInfo.php?workbook=11_01.xlsx&amp;sheet=A0&amp;row=88&amp;col=12&amp;number=2e-15&amp;sourceID=11","2e-15")</f>
        <v>2e-15</v>
      </c>
      <c r="M88" s="4" t="str">
        <f>HYPERLINK("http://141.218.60.56/~jnz1568/getInfo.php?workbook=11_01.xlsx&amp;sheet=A0&amp;row=88&amp;col=13&amp;number=&amp;sourceID=11","")</f>
        <v/>
      </c>
      <c r="N88" s="4" t="str">
        <f>HYPERLINK("http://141.218.60.56/~jnz1568/getInfo.php?workbook=11_01.xlsx&amp;sheet=A0&amp;row=88&amp;col=14&amp;number=18.732&amp;sourceID=12","18.732")</f>
        <v>18.732</v>
      </c>
      <c r="O88" s="4" t="str">
        <f>HYPERLINK("http://141.218.60.56/~jnz1568/getInfo.php?workbook=11_01.xlsx&amp;sheet=A0&amp;row=88&amp;col=15&amp;number=18.732&amp;sourceID=12","18.732")</f>
        <v>18.732</v>
      </c>
      <c r="P88" s="4" t="str">
        <f>HYPERLINK("http://141.218.60.56/~jnz1568/getInfo.php?workbook=11_01.xlsx&amp;sheet=A0&amp;row=88&amp;col=16&amp;number=&amp;sourceID=12","")</f>
        <v/>
      </c>
      <c r="Q88" s="4" t="str">
        <f>HYPERLINK("http://141.218.60.56/~jnz1568/getInfo.php?workbook=11_01.xlsx&amp;sheet=A0&amp;row=88&amp;col=17&amp;number=0&amp;sourceID=12","0")</f>
        <v>0</v>
      </c>
      <c r="R88" s="4" t="str">
        <f>HYPERLINK("http://141.218.60.56/~jnz1568/getInfo.php?workbook=11_01.xlsx&amp;sheet=A0&amp;row=88&amp;col=18&amp;number=&amp;sourceID=12","")</f>
        <v/>
      </c>
      <c r="S88" s="4" t="str">
        <f>HYPERLINK("http://141.218.60.56/~jnz1568/getInfo.php?workbook=11_01.xlsx&amp;sheet=A0&amp;row=88&amp;col=19&amp;number=2e-15&amp;sourceID=12","2e-15")</f>
        <v>2e-15</v>
      </c>
      <c r="T88" s="4" t="str">
        <f>HYPERLINK("http://141.218.60.56/~jnz1568/getInfo.php?workbook=11_01.xlsx&amp;sheet=A0&amp;row=88&amp;col=20&amp;number=&amp;sourceID=12","")</f>
        <v/>
      </c>
      <c r="U88" s="4" t="str">
        <f>HYPERLINK("http://141.218.60.56/~jnz1568/getInfo.php?workbook=11_01.xlsx&amp;sheet=A0&amp;row=88&amp;col=21&amp;number=18.73&amp;sourceID=30","18.73")</f>
        <v>18.73</v>
      </c>
      <c r="V88" s="4" t="str">
        <f>HYPERLINK("http://141.218.60.56/~jnz1568/getInfo.php?workbook=11_01.xlsx&amp;sheet=A0&amp;row=88&amp;col=22&amp;number=18.73&amp;sourceID=30","18.73")</f>
        <v>18.73</v>
      </c>
      <c r="W88" s="4" t="str">
        <f>HYPERLINK("http://141.218.60.56/~jnz1568/getInfo.php?workbook=11_01.xlsx&amp;sheet=A0&amp;row=88&amp;col=23&amp;number=&amp;sourceID=30","")</f>
        <v/>
      </c>
      <c r="X88" s="4" t="str">
        <f>HYPERLINK("http://141.218.60.56/~jnz1568/getInfo.php?workbook=11_01.xlsx&amp;sheet=A0&amp;row=88&amp;col=24&amp;number=&amp;sourceID=30","")</f>
        <v/>
      </c>
      <c r="Y88" s="4" t="str">
        <f>HYPERLINK("http://141.218.60.56/~jnz1568/getInfo.php?workbook=11_01.xlsx&amp;sheet=A0&amp;row=88&amp;col=25&amp;number=2e-15&amp;sourceID=30","2e-15")</f>
        <v>2e-15</v>
      </c>
      <c r="Z88" s="4" t="str">
        <f>HYPERLINK("http://141.218.60.56/~jnz1568/getInfo.php?workbook=11_01.xlsx&amp;sheet=A0&amp;row=88&amp;col=26&amp;number==SUM(AA88:AE88)&amp;sourceID=13","=SUM(AA88:AE88)")</f>
        <v>=SUM(AA88:AE88)</v>
      </c>
      <c r="AA88" s="4" t="str">
        <f>HYPERLINK("http://141.218.60.56/~jnz1568/getInfo.php?workbook=11_01.xlsx&amp;sheet=A0&amp;row=88&amp;col=27&amp;number=18.6&amp;sourceID=13","18.6")</f>
        <v>18.6</v>
      </c>
      <c r="AB88" s="4" t="str">
        <f>HYPERLINK("http://141.218.60.56/~jnz1568/getInfo.php?workbook=11_01.xlsx&amp;sheet=A0&amp;row=88&amp;col=28&amp;number=&amp;sourceID=13","")</f>
        <v/>
      </c>
      <c r="AC88" s="4" t="str">
        <f>HYPERLINK("http://141.218.60.56/~jnz1568/getInfo.php?workbook=11_01.xlsx&amp;sheet=A0&amp;row=88&amp;col=29&amp;number=&amp;sourceID=13","")</f>
        <v/>
      </c>
      <c r="AD88" s="4" t="str">
        <f>HYPERLINK("http://141.218.60.56/~jnz1568/getInfo.php?workbook=11_01.xlsx&amp;sheet=A0&amp;row=88&amp;col=30&amp;number=&amp;sourceID=13","")</f>
        <v/>
      </c>
      <c r="AE88" s="4" t="str">
        <f>HYPERLINK("http://141.218.60.56/~jnz1568/getInfo.php?workbook=11_01.xlsx&amp;sheet=A0&amp;row=88&amp;col=31&amp;number=&amp;sourceID=13","")</f>
        <v/>
      </c>
    </row>
    <row r="89" spans="1:31">
      <c r="A89" s="3">
        <v>11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HYPERLINK("http://141.218.60.56/~jnz1568/getInfo.php?workbook=11_01.xlsx&amp;sheet=A0&amp;row=89&amp;col=6&amp;number=&amp;sourceID=18","")</f>
        <v/>
      </c>
      <c r="G89" s="4" t="str">
        <f>HYPERLINK("http://141.218.60.56/~jnz1568/getInfo.php?workbook=11_01.xlsx&amp;sheet=A0&amp;row=89&amp;col=7&amp;number==&amp;sourceID=11","=")</f>
        <v>=</v>
      </c>
      <c r="H89" s="4" t="str">
        <f>HYPERLINK("http://141.218.60.56/~jnz1568/getInfo.php?workbook=11_01.xlsx&amp;sheet=A0&amp;row=89&amp;col=8&amp;number=&amp;sourceID=11","")</f>
        <v/>
      </c>
      <c r="I89" s="4" t="str">
        <f>HYPERLINK("http://141.218.60.56/~jnz1568/getInfo.php?workbook=11_01.xlsx&amp;sheet=A0&amp;row=89&amp;col=9&amp;number=3.242e-11&amp;sourceID=11","3.242e-11")</f>
        <v>3.242e-11</v>
      </c>
      <c r="J89" s="4" t="str">
        <f>HYPERLINK("http://141.218.60.56/~jnz1568/getInfo.php?workbook=11_01.xlsx&amp;sheet=A0&amp;row=89&amp;col=10&amp;number=&amp;sourceID=11","")</f>
        <v/>
      </c>
      <c r="K89" s="4" t="str">
        <f>HYPERLINK("http://141.218.60.56/~jnz1568/getInfo.php?workbook=11_01.xlsx&amp;sheet=A0&amp;row=89&amp;col=11&amp;number=5.8e-14&amp;sourceID=11","5.8e-14")</f>
        <v>5.8e-14</v>
      </c>
      <c r="L89" s="4" t="str">
        <f>HYPERLINK("http://141.218.60.56/~jnz1568/getInfo.php?workbook=11_01.xlsx&amp;sheet=A0&amp;row=89&amp;col=12&amp;number=&amp;sourceID=11","")</f>
        <v/>
      </c>
      <c r="M89" s="4" t="str">
        <f>HYPERLINK("http://141.218.60.56/~jnz1568/getInfo.php?workbook=11_01.xlsx&amp;sheet=A0&amp;row=89&amp;col=13&amp;number=0&amp;sourceID=11","0")</f>
        <v>0</v>
      </c>
      <c r="N89" s="4" t="str">
        <f>HYPERLINK("http://141.218.60.56/~jnz1568/getInfo.php?workbook=11_01.xlsx&amp;sheet=A0&amp;row=89&amp;col=14&amp;number=3.2479e-11&amp;sourceID=12","3.2479e-11")</f>
        <v>3.2479e-11</v>
      </c>
      <c r="O89" s="4" t="str">
        <f>HYPERLINK("http://141.218.60.56/~jnz1568/getInfo.php?workbook=11_01.xlsx&amp;sheet=A0&amp;row=89&amp;col=15&amp;number=&amp;sourceID=12","")</f>
        <v/>
      </c>
      <c r="P89" s="4" t="str">
        <f>HYPERLINK("http://141.218.60.56/~jnz1568/getInfo.php?workbook=11_01.xlsx&amp;sheet=A0&amp;row=89&amp;col=16&amp;number=3.2421e-11&amp;sourceID=12","3.2421e-11")</f>
        <v>3.2421e-11</v>
      </c>
      <c r="Q89" s="4" t="str">
        <f>HYPERLINK("http://141.218.60.56/~jnz1568/getInfo.php?workbook=11_01.xlsx&amp;sheet=A0&amp;row=89&amp;col=17&amp;number=&amp;sourceID=12","")</f>
        <v/>
      </c>
      <c r="R89" s="4" t="str">
        <f>HYPERLINK("http://141.218.60.56/~jnz1568/getInfo.php?workbook=11_01.xlsx&amp;sheet=A0&amp;row=89&amp;col=18&amp;number=5.8e-14&amp;sourceID=12","5.8e-14")</f>
        <v>5.8e-14</v>
      </c>
      <c r="S89" s="4" t="str">
        <f>HYPERLINK("http://141.218.60.56/~jnz1568/getInfo.php?workbook=11_01.xlsx&amp;sheet=A0&amp;row=89&amp;col=19&amp;number=&amp;sourceID=12","")</f>
        <v/>
      </c>
      <c r="T89" s="4" t="str">
        <f>HYPERLINK("http://141.218.60.56/~jnz1568/getInfo.php?workbook=11_01.xlsx&amp;sheet=A0&amp;row=89&amp;col=20&amp;number=0&amp;sourceID=12","0")</f>
        <v>0</v>
      </c>
      <c r="U89" s="4" t="str">
        <f>HYPERLINK("http://141.218.60.56/~jnz1568/getInfo.php?workbook=11_01.xlsx&amp;sheet=A0&amp;row=89&amp;col=21&amp;number=3.2478e-11&amp;sourceID=30","3.2478e-11")</f>
        <v>3.2478e-11</v>
      </c>
      <c r="V89" s="4" t="str">
        <f>HYPERLINK("http://141.218.60.56/~jnz1568/getInfo.php?workbook=11_01.xlsx&amp;sheet=A0&amp;row=89&amp;col=22&amp;number=&amp;sourceID=30","")</f>
        <v/>
      </c>
      <c r="W89" s="4" t="str">
        <f>HYPERLINK("http://141.218.60.56/~jnz1568/getInfo.php?workbook=11_01.xlsx&amp;sheet=A0&amp;row=89&amp;col=23&amp;number=3.242e-11&amp;sourceID=30","3.242e-11")</f>
        <v>3.242e-11</v>
      </c>
      <c r="X89" s="4" t="str">
        <f>HYPERLINK("http://141.218.60.56/~jnz1568/getInfo.php?workbook=11_01.xlsx&amp;sheet=A0&amp;row=89&amp;col=24&amp;number=5.8e-14&amp;sourceID=30","5.8e-14")</f>
        <v>5.8e-14</v>
      </c>
      <c r="Y89" s="4" t="str">
        <f>HYPERLINK("http://141.218.60.56/~jnz1568/getInfo.php?workbook=11_01.xlsx&amp;sheet=A0&amp;row=89&amp;col=25&amp;number=&amp;sourceID=30","")</f>
        <v/>
      </c>
      <c r="Z89" s="4" t="str">
        <f>HYPERLINK("http://141.218.60.56/~jnz1568/getInfo.php?workbook=11_01.xlsx&amp;sheet=A0&amp;row=89&amp;col=26&amp;number=&amp;sourceID=13","")</f>
        <v/>
      </c>
      <c r="AA89" s="4" t="str">
        <f>HYPERLINK("http://141.218.60.56/~jnz1568/getInfo.php?workbook=11_01.xlsx&amp;sheet=A0&amp;row=89&amp;col=27&amp;number=&amp;sourceID=13","")</f>
        <v/>
      </c>
      <c r="AB89" s="4" t="str">
        <f>HYPERLINK("http://141.218.60.56/~jnz1568/getInfo.php?workbook=11_01.xlsx&amp;sheet=A0&amp;row=89&amp;col=28&amp;number=&amp;sourceID=13","")</f>
        <v/>
      </c>
      <c r="AC89" s="4" t="str">
        <f>HYPERLINK("http://141.218.60.56/~jnz1568/getInfo.php?workbook=11_01.xlsx&amp;sheet=A0&amp;row=89&amp;col=29&amp;number=&amp;sourceID=13","")</f>
        <v/>
      </c>
      <c r="AD89" s="4" t="str">
        <f>HYPERLINK("http://141.218.60.56/~jnz1568/getInfo.php?workbook=11_01.xlsx&amp;sheet=A0&amp;row=89&amp;col=30&amp;number=&amp;sourceID=13","")</f>
        <v/>
      </c>
      <c r="AE89" s="4" t="str">
        <f>HYPERLINK("http://141.218.60.56/~jnz1568/getInfo.php?workbook=11_01.xlsx&amp;sheet=A0&amp;row=89&amp;col=31&amp;number=&amp;sourceID=13","")</f>
        <v/>
      </c>
    </row>
    <row r="90" spans="1:31">
      <c r="A90" s="3">
        <v>11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HYPERLINK("http://141.218.60.56/~jnz1568/getInfo.php?workbook=11_01.xlsx&amp;sheet=A0&amp;row=90&amp;col=6&amp;number=&amp;sourceID=18","")</f>
        <v/>
      </c>
      <c r="G90" s="4" t="str">
        <f>HYPERLINK("http://141.218.60.56/~jnz1568/getInfo.php?workbook=11_01.xlsx&amp;sheet=A0&amp;row=90&amp;col=7&amp;number==&amp;sourceID=11","=")</f>
        <v>=</v>
      </c>
      <c r="H90" s="4" t="str">
        <f>HYPERLINK("http://141.218.60.56/~jnz1568/getInfo.php?workbook=11_01.xlsx&amp;sheet=A0&amp;row=90&amp;col=8&amp;number=&amp;sourceID=11","")</f>
        <v/>
      </c>
      <c r="I90" s="4" t="str">
        <f>HYPERLINK("http://141.218.60.56/~jnz1568/getInfo.php?workbook=11_01.xlsx&amp;sheet=A0&amp;row=90&amp;col=9&amp;number=576400000&amp;sourceID=11","576400000")</f>
        <v>576400000</v>
      </c>
      <c r="J90" s="4" t="str">
        <f>HYPERLINK("http://141.218.60.56/~jnz1568/getInfo.php?workbook=11_01.xlsx&amp;sheet=A0&amp;row=90&amp;col=10&amp;number=&amp;sourceID=11","")</f>
        <v/>
      </c>
      <c r="K90" s="4" t="str">
        <f>HYPERLINK("http://141.218.60.56/~jnz1568/getInfo.php?workbook=11_01.xlsx&amp;sheet=A0&amp;row=90&amp;col=11&amp;number=&amp;sourceID=11","")</f>
        <v/>
      </c>
      <c r="L90" s="4" t="str">
        <f>HYPERLINK("http://141.218.60.56/~jnz1568/getInfo.php?workbook=11_01.xlsx&amp;sheet=A0&amp;row=90&amp;col=12&amp;number=&amp;sourceID=11","")</f>
        <v/>
      </c>
      <c r="M90" s="4" t="str">
        <f>HYPERLINK("http://141.218.60.56/~jnz1568/getInfo.php?workbook=11_01.xlsx&amp;sheet=A0&amp;row=90&amp;col=13&amp;number=1173.1&amp;sourceID=11","1173.1")</f>
        <v>1173.1</v>
      </c>
      <c r="N90" s="4" t="str">
        <f>HYPERLINK("http://141.218.60.56/~jnz1568/getInfo.php?workbook=11_01.xlsx&amp;sheet=A0&amp;row=90&amp;col=14&amp;number=576420000&amp;sourceID=12","576420000")</f>
        <v>576420000</v>
      </c>
      <c r="O90" s="4" t="str">
        <f>HYPERLINK("http://141.218.60.56/~jnz1568/getInfo.php?workbook=11_01.xlsx&amp;sheet=A0&amp;row=90&amp;col=15&amp;number=&amp;sourceID=12","")</f>
        <v/>
      </c>
      <c r="P90" s="4" t="str">
        <f>HYPERLINK("http://141.218.60.56/~jnz1568/getInfo.php?workbook=11_01.xlsx&amp;sheet=A0&amp;row=90&amp;col=16&amp;number=576420000&amp;sourceID=12","576420000")</f>
        <v>576420000</v>
      </c>
      <c r="Q90" s="4" t="str">
        <f>HYPERLINK("http://141.218.60.56/~jnz1568/getInfo.php?workbook=11_01.xlsx&amp;sheet=A0&amp;row=90&amp;col=17&amp;number=&amp;sourceID=12","")</f>
        <v/>
      </c>
      <c r="R90" s="4" t="str">
        <f>HYPERLINK("http://141.218.60.56/~jnz1568/getInfo.php?workbook=11_01.xlsx&amp;sheet=A0&amp;row=90&amp;col=18&amp;number=&amp;sourceID=12","")</f>
        <v/>
      </c>
      <c r="S90" s="4" t="str">
        <f>HYPERLINK("http://141.218.60.56/~jnz1568/getInfo.php?workbook=11_01.xlsx&amp;sheet=A0&amp;row=90&amp;col=19&amp;number=&amp;sourceID=12","")</f>
        <v/>
      </c>
      <c r="T90" s="4" t="str">
        <f>HYPERLINK("http://141.218.60.56/~jnz1568/getInfo.php?workbook=11_01.xlsx&amp;sheet=A0&amp;row=90&amp;col=20&amp;number=1173.1&amp;sourceID=12","1173.1")</f>
        <v>1173.1</v>
      </c>
      <c r="U90" s="4" t="str">
        <f>HYPERLINK("http://141.218.60.56/~jnz1568/getInfo.php?workbook=11_01.xlsx&amp;sheet=A0&amp;row=90&amp;col=21&amp;number=576400000&amp;sourceID=30","576400000")</f>
        <v>576400000</v>
      </c>
      <c r="V90" s="4" t="str">
        <f>HYPERLINK("http://141.218.60.56/~jnz1568/getInfo.php?workbook=11_01.xlsx&amp;sheet=A0&amp;row=90&amp;col=22&amp;number=&amp;sourceID=30","")</f>
        <v/>
      </c>
      <c r="W90" s="4" t="str">
        <f>HYPERLINK("http://141.218.60.56/~jnz1568/getInfo.php?workbook=11_01.xlsx&amp;sheet=A0&amp;row=90&amp;col=23&amp;number=576400000&amp;sourceID=30","576400000")</f>
        <v>576400000</v>
      </c>
      <c r="X90" s="4" t="str">
        <f>HYPERLINK("http://141.218.60.56/~jnz1568/getInfo.php?workbook=11_01.xlsx&amp;sheet=A0&amp;row=90&amp;col=24&amp;number=&amp;sourceID=30","")</f>
        <v/>
      </c>
      <c r="Y90" s="4" t="str">
        <f>HYPERLINK("http://141.218.60.56/~jnz1568/getInfo.php?workbook=11_01.xlsx&amp;sheet=A0&amp;row=90&amp;col=25&amp;number=&amp;sourceID=30","")</f>
        <v/>
      </c>
      <c r="Z90" s="4" t="str">
        <f>HYPERLINK("http://141.218.60.56/~jnz1568/getInfo.php?workbook=11_01.xlsx&amp;sheet=A0&amp;row=90&amp;col=26&amp;number==SUM(AA90:AE90)&amp;sourceID=13","=SUM(AA90:AE90)")</f>
        <v>=SUM(AA90:AE90)</v>
      </c>
      <c r="AA90" s="4" t="str">
        <f>HYPERLINK("http://141.218.60.56/~jnz1568/getInfo.php?workbook=11_01.xlsx&amp;sheet=A0&amp;row=90&amp;col=27&amp;number=&amp;sourceID=13","")</f>
        <v/>
      </c>
      <c r="AB90" s="4" t="str">
        <f>HYPERLINK("http://141.218.60.56/~jnz1568/getInfo.php?workbook=11_01.xlsx&amp;sheet=A0&amp;row=90&amp;col=28&amp;number=665000000&amp;sourceID=13","665000000")</f>
        <v>665000000</v>
      </c>
      <c r="AC90" s="4" t="str">
        <f>HYPERLINK("http://141.218.60.56/~jnz1568/getInfo.php?workbook=11_01.xlsx&amp;sheet=A0&amp;row=90&amp;col=29&amp;number=&amp;sourceID=13","")</f>
        <v/>
      </c>
      <c r="AD90" s="4" t="str">
        <f>HYPERLINK("http://141.218.60.56/~jnz1568/getInfo.php?workbook=11_01.xlsx&amp;sheet=A0&amp;row=90&amp;col=30&amp;number=&amp;sourceID=13","")</f>
        <v/>
      </c>
      <c r="AE90" s="4" t="str">
        <f>HYPERLINK("http://141.218.60.56/~jnz1568/getInfo.php?workbook=11_01.xlsx&amp;sheet=A0&amp;row=90&amp;col=31&amp;number=&amp;sourceID=13","")</f>
        <v/>
      </c>
    </row>
    <row r="91" spans="1:31">
      <c r="A91" s="3">
        <v>11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HYPERLINK("http://141.218.60.56/~jnz1568/getInfo.php?workbook=11_01.xlsx&amp;sheet=A0&amp;row=91&amp;col=6&amp;number=&amp;sourceID=18","")</f>
        <v/>
      </c>
      <c r="G91" s="4" t="str">
        <f>HYPERLINK("http://141.218.60.56/~jnz1568/getInfo.php?workbook=11_01.xlsx&amp;sheet=A0&amp;row=91&amp;col=7&amp;number==&amp;sourceID=11","=")</f>
        <v>=</v>
      </c>
      <c r="H91" s="4" t="str">
        <f>HYPERLINK("http://141.218.60.56/~jnz1568/getInfo.php?workbook=11_01.xlsx&amp;sheet=A0&amp;row=91&amp;col=8&amp;number=&amp;sourceID=11","")</f>
        <v/>
      </c>
      <c r="I91" s="4" t="str">
        <f>HYPERLINK("http://141.218.60.56/~jnz1568/getInfo.php?workbook=11_01.xlsx&amp;sheet=A0&amp;row=91&amp;col=9&amp;number=&amp;sourceID=11","")</f>
        <v/>
      </c>
      <c r="J91" s="4" t="str">
        <f>HYPERLINK("http://141.218.60.56/~jnz1568/getInfo.php?workbook=11_01.xlsx&amp;sheet=A0&amp;row=91&amp;col=10&amp;number=0.055604&amp;sourceID=11","0.055604")</f>
        <v>0.055604</v>
      </c>
      <c r="K91" s="4" t="str">
        <f>HYPERLINK("http://141.218.60.56/~jnz1568/getInfo.php?workbook=11_01.xlsx&amp;sheet=A0&amp;row=91&amp;col=11&amp;number=&amp;sourceID=11","")</f>
        <v/>
      </c>
      <c r="L91" s="4" t="str">
        <f>HYPERLINK("http://141.218.60.56/~jnz1568/getInfo.php?workbook=11_01.xlsx&amp;sheet=A0&amp;row=91&amp;col=12&amp;number=4947.7&amp;sourceID=11","4947.7")</f>
        <v>4947.7</v>
      </c>
      <c r="M91" s="4" t="str">
        <f>HYPERLINK("http://141.218.60.56/~jnz1568/getInfo.php?workbook=11_01.xlsx&amp;sheet=A0&amp;row=91&amp;col=13&amp;number=&amp;sourceID=11","")</f>
        <v/>
      </c>
      <c r="N91" s="4" t="str">
        <f>HYPERLINK("http://141.218.60.56/~jnz1568/getInfo.php?workbook=11_01.xlsx&amp;sheet=A0&amp;row=91&amp;col=14&amp;number=4947.9&amp;sourceID=12","4947.9")</f>
        <v>4947.9</v>
      </c>
      <c r="O91" s="4" t="str">
        <f>HYPERLINK("http://141.218.60.56/~jnz1568/getInfo.php?workbook=11_01.xlsx&amp;sheet=A0&amp;row=91&amp;col=15&amp;number=&amp;sourceID=12","")</f>
        <v/>
      </c>
      <c r="P91" s="4" t="str">
        <f>HYPERLINK("http://141.218.60.56/~jnz1568/getInfo.php?workbook=11_01.xlsx&amp;sheet=A0&amp;row=91&amp;col=16&amp;number=&amp;sourceID=12","")</f>
        <v/>
      </c>
      <c r="Q91" s="4" t="str">
        <f>HYPERLINK("http://141.218.60.56/~jnz1568/getInfo.php?workbook=11_01.xlsx&amp;sheet=A0&amp;row=91&amp;col=17&amp;number=0.055606&amp;sourceID=12","0.055606")</f>
        <v>0.055606</v>
      </c>
      <c r="R91" s="4" t="str">
        <f>HYPERLINK("http://141.218.60.56/~jnz1568/getInfo.php?workbook=11_01.xlsx&amp;sheet=A0&amp;row=91&amp;col=18&amp;number=&amp;sourceID=12","")</f>
        <v/>
      </c>
      <c r="S91" s="4" t="str">
        <f>HYPERLINK("http://141.218.60.56/~jnz1568/getInfo.php?workbook=11_01.xlsx&amp;sheet=A0&amp;row=91&amp;col=19&amp;number=4947.8&amp;sourceID=12","4947.8")</f>
        <v>4947.8</v>
      </c>
      <c r="T91" s="4" t="str">
        <f>HYPERLINK("http://141.218.60.56/~jnz1568/getInfo.php?workbook=11_01.xlsx&amp;sheet=A0&amp;row=91&amp;col=20&amp;number=&amp;sourceID=12","")</f>
        <v/>
      </c>
      <c r="U91" s="4" t="str">
        <f>HYPERLINK("http://141.218.60.56/~jnz1568/getInfo.php?workbook=11_01.xlsx&amp;sheet=A0&amp;row=91&amp;col=21&amp;number=4948&amp;sourceID=30","4948")</f>
        <v>4948</v>
      </c>
      <c r="V91" s="4" t="str">
        <f>HYPERLINK("http://141.218.60.56/~jnz1568/getInfo.php?workbook=11_01.xlsx&amp;sheet=A0&amp;row=91&amp;col=22&amp;number=&amp;sourceID=30","")</f>
        <v/>
      </c>
      <c r="W91" s="4" t="str">
        <f>HYPERLINK("http://141.218.60.56/~jnz1568/getInfo.php?workbook=11_01.xlsx&amp;sheet=A0&amp;row=91&amp;col=23&amp;number=&amp;sourceID=30","")</f>
        <v/>
      </c>
      <c r="X91" s="4" t="str">
        <f>HYPERLINK("http://141.218.60.56/~jnz1568/getInfo.php?workbook=11_01.xlsx&amp;sheet=A0&amp;row=91&amp;col=24&amp;number=&amp;sourceID=30","")</f>
        <v/>
      </c>
      <c r="Y91" s="4" t="str">
        <f>HYPERLINK("http://141.218.60.56/~jnz1568/getInfo.php?workbook=11_01.xlsx&amp;sheet=A0&amp;row=91&amp;col=25&amp;number=4948&amp;sourceID=30","4948")</f>
        <v>4948</v>
      </c>
      <c r="Z91" s="4" t="str">
        <f>HYPERLINK("http://141.218.60.56/~jnz1568/getInfo.php?workbook=11_01.xlsx&amp;sheet=A0&amp;row=91&amp;col=26&amp;number==&amp;sourceID=13","=")</f>
        <v>=</v>
      </c>
      <c r="AA91" s="4" t="str">
        <f>HYPERLINK("http://141.218.60.56/~jnz1568/getInfo.php?workbook=11_01.xlsx&amp;sheet=A0&amp;row=91&amp;col=27&amp;number=&amp;sourceID=13","")</f>
        <v/>
      </c>
      <c r="AB91" s="4" t="str">
        <f>HYPERLINK("http://141.218.60.56/~jnz1568/getInfo.php?workbook=11_01.xlsx&amp;sheet=A0&amp;row=91&amp;col=28&amp;number=&amp;sourceID=13","")</f>
        <v/>
      </c>
      <c r="AC91" s="4" t="str">
        <f>HYPERLINK("http://141.218.60.56/~jnz1568/getInfo.php?workbook=11_01.xlsx&amp;sheet=A0&amp;row=91&amp;col=29&amp;number=12.8&amp;sourceID=13","12.8")</f>
        <v>12.8</v>
      </c>
      <c r="AD91" s="4" t="str">
        <f>HYPERLINK("http://141.218.60.56/~jnz1568/getInfo.php?workbook=11_01.xlsx&amp;sheet=A0&amp;row=91&amp;col=30&amp;number=&amp;sourceID=13","")</f>
        <v/>
      </c>
      <c r="AE91" s="4" t="str">
        <f>HYPERLINK("http://141.218.60.56/~jnz1568/getInfo.php?workbook=11_01.xlsx&amp;sheet=A0&amp;row=91&amp;col=31&amp;number=19700&amp;sourceID=13","19700")</f>
        <v>19700</v>
      </c>
    </row>
    <row r="92" spans="1:31">
      <c r="A92" s="3">
        <v>11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HYPERLINK("http://141.218.60.56/~jnz1568/getInfo.php?workbook=11_01.xlsx&amp;sheet=A0&amp;row=92&amp;col=6&amp;number=&amp;sourceID=18","")</f>
        <v/>
      </c>
      <c r="G92" s="4" t="str">
        <f>HYPERLINK("http://141.218.60.56/~jnz1568/getInfo.php?workbook=11_01.xlsx&amp;sheet=A0&amp;row=92&amp;col=7&amp;number==&amp;sourceID=11","=")</f>
        <v>=</v>
      </c>
      <c r="H92" s="4" t="str">
        <f>HYPERLINK("http://141.218.60.56/~jnz1568/getInfo.php?workbook=11_01.xlsx&amp;sheet=A0&amp;row=92&amp;col=8&amp;number=&amp;sourceID=11","")</f>
        <v/>
      </c>
      <c r="I92" s="4" t="str">
        <f>HYPERLINK("http://141.218.60.56/~jnz1568/getInfo.php?workbook=11_01.xlsx&amp;sheet=A0&amp;row=92&amp;col=9&amp;number=9331100&amp;sourceID=11","9331100")</f>
        <v>9331100</v>
      </c>
      <c r="J92" s="4" t="str">
        <f>HYPERLINK("http://141.218.60.56/~jnz1568/getInfo.php?workbook=11_01.xlsx&amp;sheet=A0&amp;row=92&amp;col=10&amp;number=&amp;sourceID=11","")</f>
        <v/>
      </c>
      <c r="K92" s="4" t="str">
        <f>HYPERLINK("http://141.218.60.56/~jnz1568/getInfo.php?workbook=11_01.xlsx&amp;sheet=A0&amp;row=92&amp;col=11&amp;number=&amp;sourceID=11","")</f>
        <v/>
      </c>
      <c r="L92" s="4" t="str">
        <f>HYPERLINK("http://141.218.60.56/~jnz1568/getInfo.php?workbook=11_01.xlsx&amp;sheet=A0&amp;row=92&amp;col=12&amp;number=&amp;sourceID=11","")</f>
        <v/>
      </c>
      <c r="M92" s="4" t="str">
        <f>HYPERLINK("http://141.218.60.56/~jnz1568/getInfo.php?workbook=11_01.xlsx&amp;sheet=A0&amp;row=92&amp;col=13&amp;number=0.75979&amp;sourceID=11","0.75979")</f>
        <v>0.75979</v>
      </c>
      <c r="N92" s="4" t="str">
        <f>HYPERLINK("http://141.218.60.56/~jnz1568/getInfo.php?workbook=11_01.xlsx&amp;sheet=A0&amp;row=92&amp;col=14&amp;number=9331300&amp;sourceID=12","9331300")</f>
        <v>9331300</v>
      </c>
      <c r="O92" s="4" t="str">
        <f>HYPERLINK("http://141.218.60.56/~jnz1568/getInfo.php?workbook=11_01.xlsx&amp;sheet=A0&amp;row=92&amp;col=15&amp;number=&amp;sourceID=12","")</f>
        <v/>
      </c>
      <c r="P92" s="4" t="str">
        <f>HYPERLINK("http://141.218.60.56/~jnz1568/getInfo.php?workbook=11_01.xlsx&amp;sheet=A0&amp;row=92&amp;col=16&amp;number=9331300&amp;sourceID=12","9331300")</f>
        <v>9331300</v>
      </c>
      <c r="Q92" s="4" t="str">
        <f>HYPERLINK("http://141.218.60.56/~jnz1568/getInfo.php?workbook=11_01.xlsx&amp;sheet=A0&amp;row=92&amp;col=17&amp;number=&amp;sourceID=12","")</f>
        <v/>
      </c>
      <c r="R92" s="4" t="str">
        <f>HYPERLINK("http://141.218.60.56/~jnz1568/getInfo.php?workbook=11_01.xlsx&amp;sheet=A0&amp;row=92&amp;col=18&amp;number=&amp;sourceID=12","")</f>
        <v/>
      </c>
      <c r="S92" s="4" t="str">
        <f>HYPERLINK("http://141.218.60.56/~jnz1568/getInfo.php?workbook=11_01.xlsx&amp;sheet=A0&amp;row=92&amp;col=19&amp;number=&amp;sourceID=12","")</f>
        <v/>
      </c>
      <c r="T92" s="4" t="str">
        <f>HYPERLINK("http://141.218.60.56/~jnz1568/getInfo.php?workbook=11_01.xlsx&amp;sheet=A0&amp;row=92&amp;col=20&amp;number=0.7598&amp;sourceID=12","0.7598")</f>
        <v>0.7598</v>
      </c>
      <c r="U92" s="4" t="str">
        <f>HYPERLINK("http://141.218.60.56/~jnz1568/getInfo.php?workbook=11_01.xlsx&amp;sheet=A0&amp;row=92&amp;col=21&amp;number=9331000&amp;sourceID=30","9331000")</f>
        <v>9331000</v>
      </c>
      <c r="V92" s="4" t="str">
        <f>HYPERLINK("http://141.218.60.56/~jnz1568/getInfo.php?workbook=11_01.xlsx&amp;sheet=A0&amp;row=92&amp;col=22&amp;number=&amp;sourceID=30","")</f>
        <v/>
      </c>
      <c r="W92" s="4" t="str">
        <f>HYPERLINK("http://141.218.60.56/~jnz1568/getInfo.php?workbook=11_01.xlsx&amp;sheet=A0&amp;row=92&amp;col=23&amp;number=9331000&amp;sourceID=30","9331000")</f>
        <v>9331000</v>
      </c>
      <c r="X92" s="4" t="str">
        <f>HYPERLINK("http://141.218.60.56/~jnz1568/getInfo.php?workbook=11_01.xlsx&amp;sheet=A0&amp;row=92&amp;col=24&amp;number=&amp;sourceID=30","")</f>
        <v/>
      </c>
      <c r="Y92" s="4" t="str">
        <f>HYPERLINK("http://141.218.60.56/~jnz1568/getInfo.php?workbook=11_01.xlsx&amp;sheet=A0&amp;row=92&amp;col=25&amp;number=&amp;sourceID=30","")</f>
        <v/>
      </c>
      <c r="Z92" s="4" t="str">
        <f>HYPERLINK("http://141.218.60.56/~jnz1568/getInfo.php?workbook=11_01.xlsx&amp;sheet=A0&amp;row=92&amp;col=26&amp;number==&amp;sourceID=13","=")</f>
        <v>=</v>
      </c>
      <c r="AA92" s="4" t="str">
        <f>HYPERLINK("http://141.218.60.56/~jnz1568/getInfo.php?workbook=11_01.xlsx&amp;sheet=A0&amp;row=92&amp;col=27&amp;number=&amp;sourceID=13","")</f>
        <v/>
      </c>
      <c r="AB92" s="4" t="str">
        <f>HYPERLINK("http://141.218.60.56/~jnz1568/getInfo.php?workbook=11_01.xlsx&amp;sheet=A0&amp;row=92&amp;col=28&amp;number=8870000&amp;sourceID=13","8870000")</f>
        <v>8870000</v>
      </c>
      <c r="AC92" s="4" t="str">
        <f>HYPERLINK("http://141.218.60.56/~jnz1568/getInfo.php?workbook=11_01.xlsx&amp;sheet=A0&amp;row=92&amp;col=29&amp;number=&amp;sourceID=13","")</f>
        <v/>
      </c>
      <c r="AD92" s="4" t="str">
        <f>HYPERLINK("http://141.218.60.56/~jnz1568/getInfo.php?workbook=11_01.xlsx&amp;sheet=A0&amp;row=92&amp;col=30&amp;number=&amp;sourceID=13","")</f>
        <v/>
      </c>
      <c r="AE92" s="4" t="str">
        <f>HYPERLINK("http://141.218.60.56/~jnz1568/getInfo.php?workbook=11_01.xlsx&amp;sheet=A0&amp;row=92&amp;col=31&amp;number=&amp;sourceID=13","")</f>
        <v/>
      </c>
    </row>
    <row r="93" spans="1:31">
      <c r="A93" s="3">
        <v>11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HYPERLINK("http://141.218.60.56/~jnz1568/getInfo.php?workbook=11_01.xlsx&amp;sheet=A0&amp;row=93&amp;col=6&amp;number=&amp;sourceID=18","")</f>
        <v/>
      </c>
      <c r="G93" s="4" t="str">
        <f>HYPERLINK("http://141.218.60.56/~jnz1568/getInfo.php?workbook=11_01.xlsx&amp;sheet=A0&amp;row=93&amp;col=7&amp;number==&amp;sourceID=11","=")</f>
        <v>=</v>
      </c>
      <c r="H93" s="4" t="str">
        <f>HYPERLINK("http://141.218.60.56/~jnz1568/getInfo.php?workbook=11_01.xlsx&amp;sheet=A0&amp;row=93&amp;col=8&amp;number=302130000000&amp;sourceID=11","302130000000")</f>
        <v>302130000000</v>
      </c>
      <c r="I93" s="4" t="str">
        <f>HYPERLINK("http://141.218.60.56/~jnz1568/getInfo.php?workbook=11_01.xlsx&amp;sheet=A0&amp;row=93&amp;col=9&amp;number=&amp;sourceID=11","")</f>
        <v/>
      </c>
      <c r="J93" s="4" t="str">
        <f>HYPERLINK("http://141.218.60.56/~jnz1568/getInfo.php?workbook=11_01.xlsx&amp;sheet=A0&amp;row=93&amp;col=10&amp;number=0.00039319&amp;sourceID=11","0.00039319")</f>
        <v>0.00039319</v>
      </c>
      <c r="K93" s="4" t="str">
        <f>HYPERLINK("http://141.218.60.56/~jnz1568/getInfo.php?workbook=11_01.xlsx&amp;sheet=A0&amp;row=93&amp;col=11&amp;number=&amp;sourceID=11","")</f>
        <v/>
      </c>
      <c r="L93" s="4" t="str">
        <f>HYPERLINK("http://141.218.60.56/~jnz1568/getInfo.php?workbook=11_01.xlsx&amp;sheet=A0&amp;row=93&amp;col=12&amp;number=26795&amp;sourceID=11","26795")</f>
        <v>26795</v>
      </c>
      <c r="M93" s="4" t="str">
        <f>HYPERLINK("http://141.218.60.56/~jnz1568/getInfo.php?workbook=11_01.xlsx&amp;sheet=A0&amp;row=93&amp;col=13&amp;number=&amp;sourceID=11","")</f>
        <v/>
      </c>
      <c r="N93" s="4" t="str">
        <f>HYPERLINK("http://141.218.60.56/~jnz1568/getInfo.php?workbook=11_01.xlsx&amp;sheet=A0&amp;row=93&amp;col=14&amp;number=302130000000&amp;sourceID=12","302130000000")</f>
        <v>302130000000</v>
      </c>
      <c r="O93" s="4" t="str">
        <f>HYPERLINK("http://141.218.60.56/~jnz1568/getInfo.php?workbook=11_01.xlsx&amp;sheet=A0&amp;row=93&amp;col=15&amp;number=302130000000&amp;sourceID=12","302130000000")</f>
        <v>302130000000</v>
      </c>
      <c r="P93" s="4" t="str">
        <f>HYPERLINK("http://141.218.60.56/~jnz1568/getInfo.php?workbook=11_01.xlsx&amp;sheet=A0&amp;row=93&amp;col=16&amp;number=&amp;sourceID=12","")</f>
        <v/>
      </c>
      <c r="Q93" s="4" t="str">
        <f>HYPERLINK("http://141.218.60.56/~jnz1568/getInfo.php?workbook=11_01.xlsx&amp;sheet=A0&amp;row=93&amp;col=17&amp;number=0.00039324&amp;sourceID=12","0.00039324")</f>
        <v>0.00039324</v>
      </c>
      <c r="R93" s="4" t="str">
        <f>HYPERLINK("http://141.218.60.56/~jnz1568/getInfo.php?workbook=11_01.xlsx&amp;sheet=A0&amp;row=93&amp;col=18&amp;number=&amp;sourceID=12","")</f>
        <v/>
      </c>
      <c r="S93" s="4" t="str">
        <f>HYPERLINK("http://141.218.60.56/~jnz1568/getInfo.php?workbook=11_01.xlsx&amp;sheet=A0&amp;row=93&amp;col=19&amp;number=26796&amp;sourceID=12","26796")</f>
        <v>26796</v>
      </c>
      <c r="T93" s="4" t="str">
        <f>HYPERLINK("http://141.218.60.56/~jnz1568/getInfo.php?workbook=11_01.xlsx&amp;sheet=A0&amp;row=93&amp;col=20&amp;number=&amp;sourceID=12","")</f>
        <v/>
      </c>
      <c r="U93" s="4" t="str">
        <f>HYPERLINK("http://141.218.60.56/~jnz1568/getInfo.php?workbook=11_01.xlsx&amp;sheet=A0&amp;row=93&amp;col=21&amp;number=302100026800&amp;sourceID=30","302100026800")</f>
        <v>302100026800</v>
      </c>
      <c r="V93" s="4" t="str">
        <f>HYPERLINK("http://141.218.60.56/~jnz1568/getInfo.php?workbook=11_01.xlsx&amp;sheet=A0&amp;row=93&amp;col=22&amp;number=302100000000&amp;sourceID=30","302100000000")</f>
        <v>302100000000</v>
      </c>
      <c r="W93" s="4" t="str">
        <f>HYPERLINK("http://141.218.60.56/~jnz1568/getInfo.php?workbook=11_01.xlsx&amp;sheet=A0&amp;row=93&amp;col=23&amp;number=&amp;sourceID=30","")</f>
        <v/>
      </c>
      <c r="X93" s="4" t="str">
        <f>HYPERLINK("http://141.218.60.56/~jnz1568/getInfo.php?workbook=11_01.xlsx&amp;sheet=A0&amp;row=93&amp;col=24&amp;number=&amp;sourceID=30","")</f>
        <v/>
      </c>
      <c r="Y93" s="4" t="str">
        <f>HYPERLINK("http://141.218.60.56/~jnz1568/getInfo.php?workbook=11_01.xlsx&amp;sheet=A0&amp;row=93&amp;col=25&amp;number=26800&amp;sourceID=30","26800")</f>
        <v>26800</v>
      </c>
      <c r="Z93" s="4" t="str">
        <f>HYPERLINK("http://141.218.60.56/~jnz1568/getInfo.php?workbook=11_01.xlsx&amp;sheet=A0&amp;row=93&amp;col=26&amp;number==&amp;sourceID=13","=")</f>
        <v>=</v>
      </c>
      <c r="AA93" s="4" t="str">
        <f>HYPERLINK("http://141.218.60.56/~jnz1568/getInfo.php?workbook=11_01.xlsx&amp;sheet=A0&amp;row=93&amp;col=27&amp;number=301000000000&amp;sourceID=13","301000000000")</f>
        <v>301000000000</v>
      </c>
      <c r="AB93" s="4" t="str">
        <f>HYPERLINK("http://141.218.60.56/~jnz1568/getInfo.php?workbook=11_01.xlsx&amp;sheet=A0&amp;row=93&amp;col=28&amp;number=&amp;sourceID=13","")</f>
        <v/>
      </c>
      <c r="AC93" s="4" t="str">
        <f>HYPERLINK("http://141.218.60.56/~jnz1568/getInfo.php?workbook=11_01.xlsx&amp;sheet=A0&amp;row=93&amp;col=29&amp;number=&amp;sourceID=13","")</f>
        <v/>
      </c>
      <c r="AD93" s="4" t="str">
        <f>HYPERLINK("http://141.218.60.56/~jnz1568/getInfo.php?workbook=11_01.xlsx&amp;sheet=A0&amp;row=93&amp;col=30&amp;number=&amp;sourceID=13","")</f>
        <v/>
      </c>
      <c r="AE93" s="4" t="str">
        <f>HYPERLINK("http://141.218.60.56/~jnz1568/getInfo.php?workbook=11_01.xlsx&amp;sheet=A0&amp;row=93&amp;col=31&amp;number=&amp;sourceID=13","")</f>
        <v/>
      </c>
    </row>
    <row r="94" spans="1:31">
      <c r="A94" s="3">
        <v>11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HYPERLINK("http://141.218.60.56/~jnz1568/getInfo.php?workbook=11_01.xlsx&amp;sheet=A0&amp;row=94&amp;col=6&amp;number=&amp;sourceID=18","")</f>
        <v/>
      </c>
      <c r="G94" s="4" t="str">
        <f>HYPERLINK("http://141.218.60.56/~jnz1568/getInfo.php?workbook=11_01.xlsx&amp;sheet=A0&amp;row=94&amp;col=7&amp;number==&amp;sourceID=11","=")</f>
        <v>=</v>
      </c>
      <c r="H94" s="4" t="str">
        <f>HYPERLINK("http://141.218.60.56/~jnz1568/getInfo.php?workbook=11_01.xlsx&amp;sheet=A0&amp;row=94&amp;col=8&amp;number=&amp;sourceID=11","")</f>
        <v/>
      </c>
      <c r="I94" s="4" t="str">
        <f>HYPERLINK("http://141.218.60.56/~jnz1568/getInfo.php?workbook=11_01.xlsx&amp;sheet=A0&amp;row=94&amp;col=9&amp;number=&amp;sourceID=11","")</f>
        <v/>
      </c>
      <c r="J94" s="4" t="str">
        <f>HYPERLINK("http://141.218.60.56/~jnz1568/getInfo.php?workbook=11_01.xlsx&amp;sheet=A0&amp;row=94&amp;col=10&amp;number=151.58&amp;sourceID=11","151.58")</f>
        <v>151.58</v>
      </c>
      <c r="K94" s="4" t="str">
        <f>HYPERLINK("http://141.218.60.56/~jnz1568/getInfo.php?workbook=11_01.xlsx&amp;sheet=A0&amp;row=94&amp;col=11&amp;number=&amp;sourceID=11","")</f>
        <v/>
      </c>
      <c r="L94" s="4" t="str">
        <f>HYPERLINK("http://141.218.60.56/~jnz1568/getInfo.php?workbook=11_01.xlsx&amp;sheet=A0&amp;row=94&amp;col=12&amp;number=113.02&amp;sourceID=11","113.02")</f>
        <v>113.02</v>
      </c>
      <c r="M94" s="4" t="str">
        <f>HYPERLINK("http://141.218.60.56/~jnz1568/getInfo.php?workbook=11_01.xlsx&amp;sheet=A0&amp;row=94&amp;col=13&amp;number=&amp;sourceID=11","")</f>
        <v/>
      </c>
      <c r="N94" s="4" t="str">
        <f>HYPERLINK("http://141.218.60.56/~jnz1568/getInfo.php?workbook=11_01.xlsx&amp;sheet=A0&amp;row=94&amp;col=14&amp;number=264.61&amp;sourceID=12","264.61")</f>
        <v>264.61</v>
      </c>
      <c r="O94" s="4" t="str">
        <f>HYPERLINK("http://141.218.60.56/~jnz1568/getInfo.php?workbook=11_01.xlsx&amp;sheet=A0&amp;row=94&amp;col=15&amp;number=&amp;sourceID=12","")</f>
        <v/>
      </c>
      <c r="P94" s="4" t="str">
        <f>HYPERLINK("http://141.218.60.56/~jnz1568/getInfo.php?workbook=11_01.xlsx&amp;sheet=A0&amp;row=94&amp;col=16&amp;number=&amp;sourceID=12","")</f>
        <v/>
      </c>
      <c r="Q94" s="4" t="str">
        <f>HYPERLINK("http://141.218.60.56/~jnz1568/getInfo.php?workbook=11_01.xlsx&amp;sheet=A0&amp;row=94&amp;col=17&amp;number=151.59&amp;sourceID=12","151.59")</f>
        <v>151.59</v>
      </c>
      <c r="R94" s="4" t="str">
        <f>HYPERLINK("http://141.218.60.56/~jnz1568/getInfo.php?workbook=11_01.xlsx&amp;sheet=A0&amp;row=94&amp;col=18&amp;number=&amp;sourceID=12","")</f>
        <v/>
      </c>
      <c r="S94" s="4" t="str">
        <f>HYPERLINK("http://141.218.60.56/~jnz1568/getInfo.php?workbook=11_01.xlsx&amp;sheet=A0&amp;row=94&amp;col=19&amp;number=113.02&amp;sourceID=12","113.02")</f>
        <v>113.02</v>
      </c>
      <c r="T94" s="4" t="str">
        <f>HYPERLINK("http://141.218.60.56/~jnz1568/getInfo.php?workbook=11_01.xlsx&amp;sheet=A0&amp;row=94&amp;col=20&amp;number=&amp;sourceID=12","")</f>
        <v/>
      </c>
      <c r="U94" s="4" t="str">
        <f>HYPERLINK("http://141.218.60.56/~jnz1568/getInfo.php?workbook=11_01.xlsx&amp;sheet=A0&amp;row=94&amp;col=21&amp;number=113&amp;sourceID=30","113")</f>
        <v>113</v>
      </c>
      <c r="V94" s="4" t="str">
        <f>HYPERLINK("http://141.218.60.56/~jnz1568/getInfo.php?workbook=11_01.xlsx&amp;sheet=A0&amp;row=94&amp;col=22&amp;number=&amp;sourceID=30","")</f>
        <v/>
      </c>
      <c r="W94" s="4" t="str">
        <f>HYPERLINK("http://141.218.60.56/~jnz1568/getInfo.php?workbook=11_01.xlsx&amp;sheet=A0&amp;row=94&amp;col=23&amp;number=&amp;sourceID=30","")</f>
        <v/>
      </c>
      <c r="X94" s="4" t="str">
        <f>HYPERLINK("http://141.218.60.56/~jnz1568/getInfo.php?workbook=11_01.xlsx&amp;sheet=A0&amp;row=94&amp;col=24&amp;number=&amp;sourceID=30","")</f>
        <v/>
      </c>
      <c r="Y94" s="4" t="str">
        <f>HYPERLINK("http://141.218.60.56/~jnz1568/getInfo.php?workbook=11_01.xlsx&amp;sheet=A0&amp;row=94&amp;col=25&amp;number=113&amp;sourceID=30","113")</f>
        <v>113</v>
      </c>
      <c r="Z94" s="4" t="str">
        <f>HYPERLINK("http://141.218.60.56/~jnz1568/getInfo.php?workbook=11_01.xlsx&amp;sheet=A0&amp;row=94&amp;col=26&amp;number==&amp;sourceID=13","=")</f>
        <v>=</v>
      </c>
      <c r="AA94" s="4" t="str">
        <f>HYPERLINK("http://141.218.60.56/~jnz1568/getInfo.php?workbook=11_01.xlsx&amp;sheet=A0&amp;row=94&amp;col=27&amp;number=&amp;sourceID=13","")</f>
        <v/>
      </c>
      <c r="AB94" s="4" t="str">
        <f>HYPERLINK("http://141.218.60.56/~jnz1568/getInfo.php?workbook=11_01.xlsx&amp;sheet=A0&amp;row=94&amp;col=28&amp;number=&amp;sourceID=13","")</f>
        <v/>
      </c>
      <c r="AC94" s="4" t="str">
        <f>HYPERLINK("http://141.218.60.56/~jnz1568/getInfo.php?workbook=11_01.xlsx&amp;sheet=A0&amp;row=94&amp;col=29&amp;number=234&amp;sourceID=13","234")</f>
        <v>234</v>
      </c>
      <c r="AD94" s="4" t="str">
        <f>HYPERLINK("http://141.218.60.56/~jnz1568/getInfo.php?workbook=11_01.xlsx&amp;sheet=A0&amp;row=94&amp;col=30&amp;number=&amp;sourceID=13","")</f>
        <v/>
      </c>
      <c r="AE94" s="4" t="str">
        <f>HYPERLINK("http://141.218.60.56/~jnz1568/getInfo.php?workbook=11_01.xlsx&amp;sheet=A0&amp;row=94&amp;col=31&amp;number=451&amp;sourceID=13","451")</f>
        <v>451</v>
      </c>
    </row>
    <row r="95" spans="1:31">
      <c r="A95" s="3">
        <v>11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HYPERLINK("http://141.218.60.56/~jnz1568/getInfo.php?workbook=11_01.xlsx&amp;sheet=A0&amp;row=95&amp;col=6&amp;number=&amp;sourceID=18","")</f>
        <v/>
      </c>
      <c r="G95" s="4" t="str">
        <f>HYPERLINK("http://141.218.60.56/~jnz1568/getInfo.php?workbook=11_01.xlsx&amp;sheet=A0&amp;row=95&amp;col=7&amp;number==&amp;sourceID=11","=")</f>
        <v>=</v>
      </c>
      <c r="H95" s="4" t="str">
        <f>HYPERLINK("http://141.218.60.56/~jnz1568/getInfo.php?workbook=11_01.xlsx&amp;sheet=A0&amp;row=95&amp;col=8&amp;number=&amp;sourceID=11","")</f>
        <v/>
      </c>
      <c r="I95" s="4" t="str">
        <f>HYPERLINK("http://141.218.60.56/~jnz1568/getInfo.php?workbook=11_01.xlsx&amp;sheet=A0&amp;row=95&amp;col=9&amp;number=6711000&amp;sourceID=11","6711000")</f>
        <v>6711000</v>
      </c>
      <c r="J95" s="4" t="str">
        <f>HYPERLINK("http://141.218.60.56/~jnz1568/getInfo.php?workbook=11_01.xlsx&amp;sheet=A0&amp;row=95&amp;col=10&amp;number=&amp;sourceID=11","")</f>
        <v/>
      </c>
      <c r="K95" s="4" t="str">
        <f>HYPERLINK("http://141.218.60.56/~jnz1568/getInfo.php?workbook=11_01.xlsx&amp;sheet=A0&amp;row=95&amp;col=11&amp;number=&amp;sourceID=11","")</f>
        <v/>
      </c>
      <c r="L95" s="4" t="str">
        <f>HYPERLINK("http://141.218.60.56/~jnz1568/getInfo.php?workbook=11_01.xlsx&amp;sheet=A0&amp;row=95&amp;col=12&amp;number=&amp;sourceID=11","")</f>
        <v/>
      </c>
      <c r="M95" s="4" t="str">
        <f>HYPERLINK("http://141.218.60.56/~jnz1568/getInfo.php?workbook=11_01.xlsx&amp;sheet=A0&amp;row=95&amp;col=13&amp;number=0.036826&amp;sourceID=11","0.036826")</f>
        <v>0.036826</v>
      </c>
      <c r="N95" s="4" t="str">
        <f>HYPERLINK("http://141.218.60.56/~jnz1568/getInfo.php?workbook=11_01.xlsx&amp;sheet=A0&amp;row=95&amp;col=14&amp;number=6711200&amp;sourceID=12","6711200")</f>
        <v>6711200</v>
      </c>
      <c r="O95" s="4" t="str">
        <f>HYPERLINK("http://141.218.60.56/~jnz1568/getInfo.php?workbook=11_01.xlsx&amp;sheet=A0&amp;row=95&amp;col=15&amp;number=&amp;sourceID=12","")</f>
        <v/>
      </c>
      <c r="P95" s="4" t="str">
        <f>HYPERLINK("http://141.218.60.56/~jnz1568/getInfo.php?workbook=11_01.xlsx&amp;sheet=A0&amp;row=95&amp;col=16&amp;number=6711200&amp;sourceID=12","6711200")</f>
        <v>6711200</v>
      </c>
      <c r="Q95" s="4" t="str">
        <f>HYPERLINK("http://141.218.60.56/~jnz1568/getInfo.php?workbook=11_01.xlsx&amp;sheet=A0&amp;row=95&amp;col=17&amp;number=&amp;sourceID=12","")</f>
        <v/>
      </c>
      <c r="R95" s="4" t="str">
        <f>HYPERLINK("http://141.218.60.56/~jnz1568/getInfo.php?workbook=11_01.xlsx&amp;sheet=A0&amp;row=95&amp;col=18&amp;number=&amp;sourceID=12","")</f>
        <v/>
      </c>
      <c r="S95" s="4" t="str">
        <f>HYPERLINK("http://141.218.60.56/~jnz1568/getInfo.php?workbook=11_01.xlsx&amp;sheet=A0&amp;row=95&amp;col=19&amp;number=&amp;sourceID=12","")</f>
        <v/>
      </c>
      <c r="T95" s="4" t="str">
        <f>HYPERLINK("http://141.218.60.56/~jnz1568/getInfo.php?workbook=11_01.xlsx&amp;sheet=A0&amp;row=95&amp;col=20&amp;number=0.036827&amp;sourceID=12","0.036827")</f>
        <v>0.036827</v>
      </c>
      <c r="U95" s="4" t="str">
        <f>HYPERLINK("http://141.218.60.56/~jnz1568/getInfo.php?workbook=11_01.xlsx&amp;sheet=A0&amp;row=95&amp;col=21&amp;number=6711000&amp;sourceID=30","6711000")</f>
        <v>6711000</v>
      </c>
      <c r="V95" s="4" t="str">
        <f>HYPERLINK("http://141.218.60.56/~jnz1568/getInfo.php?workbook=11_01.xlsx&amp;sheet=A0&amp;row=95&amp;col=22&amp;number=&amp;sourceID=30","")</f>
        <v/>
      </c>
      <c r="W95" s="4" t="str">
        <f>HYPERLINK("http://141.218.60.56/~jnz1568/getInfo.php?workbook=11_01.xlsx&amp;sheet=A0&amp;row=95&amp;col=23&amp;number=6711000&amp;sourceID=30","6711000")</f>
        <v>6711000</v>
      </c>
      <c r="X95" s="4" t="str">
        <f>HYPERLINK("http://141.218.60.56/~jnz1568/getInfo.php?workbook=11_01.xlsx&amp;sheet=A0&amp;row=95&amp;col=24&amp;number=&amp;sourceID=30","")</f>
        <v/>
      </c>
      <c r="Y95" s="4" t="str">
        <f>HYPERLINK("http://141.218.60.56/~jnz1568/getInfo.php?workbook=11_01.xlsx&amp;sheet=A0&amp;row=95&amp;col=25&amp;number=&amp;sourceID=30","")</f>
        <v/>
      </c>
      <c r="Z95" s="4" t="str">
        <f>HYPERLINK("http://141.218.60.56/~jnz1568/getInfo.php?workbook=11_01.xlsx&amp;sheet=A0&amp;row=95&amp;col=26&amp;number==&amp;sourceID=13","=")</f>
        <v>=</v>
      </c>
      <c r="AA95" s="4" t="str">
        <f>HYPERLINK("http://141.218.60.56/~jnz1568/getInfo.php?workbook=11_01.xlsx&amp;sheet=A0&amp;row=95&amp;col=27&amp;number=&amp;sourceID=13","")</f>
        <v/>
      </c>
      <c r="AB95" s="4" t="str">
        <f>HYPERLINK("http://141.218.60.56/~jnz1568/getInfo.php?workbook=11_01.xlsx&amp;sheet=A0&amp;row=95&amp;col=28&amp;number=6690000&amp;sourceID=13","6690000")</f>
        <v>6690000</v>
      </c>
      <c r="AC95" s="4" t="str">
        <f>HYPERLINK("http://141.218.60.56/~jnz1568/getInfo.php?workbook=11_01.xlsx&amp;sheet=A0&amp;row=95&amp;col=29&amp;number=&amp;sourceID=13","")</f>
        <v/>
      </c>
      <c r="AD95" s="4" t="str">
        <f>HYPERLINK("http://141.218.60.56/~jnz1568/getInfo.php?workbook=11_01.xlsx&amp;sheet=A0&amp;row=95&amp;col=30&amp;number=&amp;sourceID=13","")</f>
        <v/>
      </c>
      <c r="AE95" s="4" t="str">
        <f>HYPERLINK("http://141.218.60.56/~jnz1568/getInfo.php?workbook=11_01.xlsx&amp;sheet=A0&amp;row=95&amp;col=31&amp;number=&amp;sourceID=13","")</f>
        <v/>
      </c>
    </row>
    <row r="96" spans="1:31">
      <c r="A96" s="3">
        <v>11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HYPERLINK("http://141.218.60.56/~jnz1568/getInfo.php?workbook=11_01.xlsx&amp;sheet=A0&amp;row=96&amp;col=6&amp;number=&amp;sourceID=18","")</f>
        <v/>
      </c>
      <c r="G96" s="4" t="str">
        <f>HYPERLINK("http://141.218.60.56/~jnz1568/getInfo.php?workbook=11_01.xlsx&amp;sheet=A0&amp;row=96&amp;col=7&amp;number==&amp;sourceID=11","=")</f>
        <v>=</v>
      </c>
      <c r="H96" s="4" t="str">
        <f>HYPERLINK("http://141.218.60.56/~jnz1568/getInfo.php?workbook=11_01.xlsx&amp;sheet=A0&amp;row=96&amp;col=8&amp;number=&amp;sourceID=11","")</f>
        <v/>
      </c>
      <c r="I96" s="4" t="str">
        <f>HYPERLINK("http://141.218.60.56/~jnz1568/getInfo.php?workbook=11_01.xlsx&amp;sheet=A0&amp;row=96&amp;col=9&amp;number=422000&amp;sourceID=11","422000")</f>
        <v>422000</v>
      </c>
      <c r="J96" s="4" t="str">
        <f>HYPERLINK("http://141.218.60.56/~jnz1568/getInfo.php?workbook=11_01.xlsx&amp;sheet=A0&amp;row=96&amp;col=10&amp;number=&amp;sourceID=11","")</f>
        <v/>
      </c>
      <c r="K96" s="4" t="str">
        <f>HYPERLINK("http://141.218.60.56/~jnz1568/getInfo.php?workbook=11_01.xlsx&amp;sheet=A0&amp;row=96&amp;col=11&amp;number=0.3724&amp;sourceID=11","0.3724")</f>
        <v>0.3724</v>
      </c>
      <c r="L96" s="4" t="str">
        <f>HYPERLINK("http://141.218.60.56/~jnz1568/getInfo.php?workbook=11_01.xlsx&amp;sheet=A0&amp;row=96&amp;col=12&amp;number=&amp;sourceID=11","")</f>
        <v/>
      </c>
      <c r="M96" s="4" t="str">
        <f>HYPERLINK("http://141.218.60.56/~jnz1568/getInfo.php?workbook=11_01.xlsx&amp;sheet=A0&amp;row=96&amp;col=13&amp;number=0.00013168&amp;sourceID=11","0.00013168")</f>
        <v>0.00013168</v>
      </c>
      <c r="N96" s="4" t="str">
        <f>HYPERLINK("http://141.218.60.56/~jnz1568/getInfo.php?workbook=11_01.xlsx&amp;sheet=A0&amp;row=96&amp;col=14&amp;number=422010&amp;sourceID=12","422010")</f>
        <v>422010</v>
      </c>
      <c r="O96" s="4" t="str">
        <f>HYPERLINK("http://141.218.60.56/~jnz1568/getInfo.php?workbook=11_01.xlsx&amp;sheet=A0&amp;row=96&amp;col=15&amp;number=&amp;sourceID=12","")</f>
        <v/>
      </c>
      <c r="P96" s="4" t="str">
        <f>HYPERLINK("http://141.218.60.56/~jnz1568/getInfo.php?workbook=11_01.xlsx&amp;sheet=A0&amp;row=96&amp;col=16&amp;number=422010&amp;sourceID=12","422010")</f>
        <v>422010</v>
      </c>
      <c r="Q96" s="4" t="str">
        <f>HYPERLINK("http://141.218.60.56/~jnz1568/getInfo.php?workbook=11_01.xlsx&amp;sheet=A0&amp;row=96&amp;col=17&amp;number=&amp;sourceID=12","")</f>
        <v/>
      </c>
      <c r="R96" s="4" t="str">
        <f>HYPERLINK("http://141.218.60.56/~jnz1568/getInfo.php?workbook=11_01.xlsx&amp;sheet=A0&amp;row=96&amp;col=18&amp;number=0.37241&amp;sourceID=12","0.37241")</f>
        <v>0.37241</v>
      </c>
      <c r="S96" s="4" t="str">
        <f>HYPERLINK("http://141.218.60.56/~jnz1568/getInfo.php?workbook=11_01.xlsx&amp;sheet=A0&amp;row=96&amp;col=19&amp;number=&amp;sourceID=12","")</f>
        <v/>
      </c>
      <c r="T96" s="4" t="str">
        <f>HYPERLINK("http://141.218.60.56/~jnz1568/getInfo.php?workbook=11_01.xlsx&amp;sheet=A0&amp;row=96&amp;col=20&amp;number=0.00013169&amp;sourceID=12","0.00013169")</f>
        <v>0.00013169</v>
      </c>
      <c r="U96" s="4" t="str">
        <f>HYPERLINK("http://141.218.60.56/~jnz1568/getInfo.php?workbook=11_01.xlsx&amp;sheet=A0&amp;row=96&amp;col=21&amp;number=422000.3724&amp;sourceID=30","422000.3724")</f>
        <v>422000.3724</v>
      </c>
      <c r="V96" s="4" t="str">
        <f>HYPERLINK("http://141.218.60.56/~jnz1568/getInfo.php?workbook=11_01.xlsx&amp;sheet=A0&amp;row=96&amp;col=22&amp;number=&amp;sourceID=30","")</f>
        <v/>
      </c>
      <c r="W96" s="4" t="str">
        <f>HYPERLINK("http://141.218.60.56/~jnz1568/getInfo.php?workbook=11_01.xlsx&amp;sheet=A0&amp;row=96&amp;col=23&amp;number=422000&amp;sourceID=30","422000")</f>
        <v>422000</v>
      </c>
      <c r="X96" s="4" t="str">
        <f>HYPERLINK("http://141.218.60.56/~jnz1568/getInfo.php?workbook=11_01.xlsx&amp;sheet=A0&amp;row=96&amp;col=24&amp;number=0.3724&amp;sourceID=30","0.3724")</f>
        <v>0.3724</v>
      </c>
      <c r="Y96" s="4" t="str">
        <f>HYPERLINK("http://141.218.60.56/~jnz1568/getInfo.php?workbook=11_01.xlsx&amp;sheet=A0&amp;row=96&amp;col=25&amp;number=&amp;sourceID=30","")</f>
        <v/>
      </c>
      <c r="Z96" s="4" t="str">
        <f>HYPERLINK("http://141.218.60.56/~jnz1568/getInfo.php?workbook=11_01.xlsx&amp;sheet=A0&amp;row=96&amp;col=26&amp;number==&amp;sourceID=13","=")</f>
        <v>=</v>
      </c>
      <c r="AA96" s="4" t="str">
        <f>HYPERLINK("http://141.218.60.56/~jnz1568/getInfo.php?workbook=11_01.xlsx&amp;sheet=A0&amp;row=96&amp;col=27&amp;number=&amp;sourceID=13","")</f>
        <v/>
      </c>
      <c r="AB96" s="4" t="str">
        <f>HYPERLINK("http://141.218.60.56/~jnz1568/getInfo.php?workbook=11_01.xlsx&amp;sheet=A0&amp;row=96&amp;col=28&amp;number=420000&amp;sourceID=13","420000")</f>
        <v>420000</v>
      </c>
      <c r="AC96" s="4" t="str">
        <f>HYPERLINK("http://141.218.60.56/~jnz1568/getInfo.php?workbook=11_01.xlsx&amp;sheet=A0&amp;row=96&amp;col=29&amp;number=&amp;sourceID=13","")</f>
        <v/>
      </c>
      <c r="AD96" s="4" t="str">
        <f>HYPERLINK("http://141.218.60.56/~jnz1568/getInfo.php?workbook=11_01.xlsx&amp;sheet=A0&amp;row=96&amp;col=30&amp;number=0.319&amp;sourceID=13","0.319")</f>
        <v>0.319</v>
      </c>
      <c r="AE96" s="4" t="str">
        <f>HYPERLINK("http://141.218.60.56/~jnz1568/getInfo.php?workbook=11_01.xlsx&amp;sheet=A0&amp;row=96&amp;col=31&amp;number=&amp;sourceID=13","")</f>
        <v/>
      </c>
    </row>
    <row r="97" spans="1:31">
      <c r="A97" s="3">
        <v>11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HYPERLINK("http://141.218.60.56/~jnz1568/getInfo.php?workbook=11_01.xlsx&amp;sheet=A0&amp;row=97&amp;col=6&amp;number=&amp;sourceID=18","")</f>
        <v/>
      </c>
      <c r="G97" s="4" t="str">
        <f>HYPERLINK("http://141.218.60.56/~jnz1568/getInfo.php?workbook=11_01.xlsx&amp;sheet=A0&amp;row=97&amp;col=7&amp;number==&amp;sourceID=11","=")</f>
        <v>=</v>
      </c>
      <c r="H97" s="4" t="str">
        <f>HYPERLINK("http://141.218.60.56/~jnz1568/getInfo.php?workbook=11_01.xlsx&amp;sheet=A0&amp;row=97&amp;col=8&amp;number=103080000000&amp;sourceID=11","103080000000")</f>
        <v>103080000000</v>
      </c>
      <c r="I97" s="4" t="str">
        <f>HYPERLINK("http://141.218.60.56/~jnz1568/getInfo.php?workbook=11_01.xlsx&amp;sheet=A0&amp;row=97&amp;col=9&amp;number=&amp;sourceID=11","")</f>
        <v/>
      </c>
      <c r="J97" s="4" t="str">
        <f>HYPERLINK("http://141.218.60.56/~jnz1568/getInfo.php?workbook=11_01.xlsx&amp;sheet=A0&amp;row=97&amp;col=10&amp;number=120.13&amp;sourceID=11","120.13")</f>
        <v>120.13</v>
      </c>
      <c r="K97" s="4" t="str">
        <f>HYPERLINK("http://141.218.60.56/~jnz1568/getInfo.php?workbook=11_01.xlsx&amp;sheet=A0&amp;row=97&amp;col=11&amp;number=&amp;sourceID=11","")</f>
        <v/>
      </c>
      <c r="L97" s="4" t="str">
        <f>HYPERLINK("http://141.218.60.56/~jnz1568/getInfo.php?workbook=11_01.xlsx&amp;sheet=A0&amp;row=97&amp;col=12&amp;number=615.58&amp;sourceID=11","615.58")</f>
        <v>615.58</v>
      </c>
      <c r="M97" s="4" t="str">
        <f>HYPERLINK("http://141.218.60.56/~jnz1568/getInfo.php?workbook=11_01.xlsx&amp;sheet=A0&amp;row=97&amp;col=13&amp;number=&amp;sourceID=11","")</f>
        <v/>
      </c>
      <c r="N97" s="4" t="str">
        <f>HYPERLINK("http://141.218.60.56/~jnz1568/getInfo.php?workbook=11_01.xlsx&amp;sheet=A0&amp;row=97&amp;col=14&amp;number=103080000000&amp;sourceID=12","103080000000")</f>
        <v>103080000000</v>
      </c>
      <c r="O97" s="4" t="str">
        <f>HYPERLINK("http://141.218.60.56/~jnz1568/getInfo.php?workbook=11_01.xlsx&amp;sheet=A0&amp;row=97&amp;col=15&amp;number=103080000000&amp;sourceID=12","103080000000")</f>
        <v>103080000000</v>
      </c>
      <c r="P97" s="4" t="str">
        <f>HYPERLINK("http://141.218.60.56/~jnz1568/getInfo.php?workbook=11_01.xlsx&amp;sheet=A0&amp;row=97&amp;col=16&amp;number=&amp;sourceID=12","")</f>
        <v/>
      </c>
      <c r="Q97" s="4" t="str">
        <f>HYPERLINK("http://141.218.60.56/~jnz1568/getInfo.php?workbook=11_01.xlsx&amp;sheet=A0&amp;row=97&amp;col=17&amp;number=120.13&amp;sourceID=12","120.13")</f>
        <v>120.13</v>
      </c>
      <c r="R97" s="4" t="str">
        <f>HYPERLINK("http://141.218.60.56/~jnz1568/getInfo.php?workbook=11_01.xlsx&amp;sheet=A0&amp;row=97&amp;col=18&amp;number=&amp;sourceID=12","")</f>
        <v/>
      </c>
      <c r="S97" s="4" t="str">
        <f>HYPERLINK("http://141.218.60.56/~jnz1568/getInfo.php?workbook=11_01.xlsx&amp;sheet=A0&amp;row=97&amp;col=19&amp;number=615.6&amp;sourceID=12","615.6")</f>
        <v>615.6</v>
      </c>
      <c r="T97" s="4" t="str">
        <f>HYPERLINK("http://141.218.60.56/~jnz1568/getInfo.php?workbook=11_01.xlsx&amp;sheet=A0&amp;row=97&amp;col=20&amp;number=&amp;sourceID=12","")</f>
        <v/>
      </c>
      <c r="U97" s="4" t="str">
        <f>HYPERLINK("http://141.218.60.56/~jnz1568/getInfo.php?workbook=11_01.xlsx&amp;sheet=A0&amp;row=97&amp;col=21&amp;number=1.03100000616e+11&amp;sourceID=30","1.03100000616e+11")</f>
        <v>1.03100000616e+11</v>
      </c>
      <c r="V97" s="4" t="str">
        <f>HYPERLINK("http://141.218.60.56/~jnz1568/getInfo.php?workbook=11_01.xlsx&amp;sheet=A0&amp;row=97&amp;col=22&amp;number=103100000000&amp;sourceID=30","103100000000")</f>
        <v>103100000000</v>
      </c>
      <c r="W97" s="4" t="str">
        <f>HYPERLINK("http://141.218.60.56/~jnz1568/getInfo.php?workbook=11_01.xlsx&amp;sheet=A0&amp;row=97&amp;col=23&amp;number=&amp;sourceID=30","")</f>
        <v/>
      </c>
      <c r="X97" s="4" t="str">
        <f>HYPERLINK("http://141.218.60.56/~jnz1568/getInfo.php?workbook=11_01.xlsx&amp;sheet=A0&amp;row=97&amp;col=24&amp;number=&amp;sourceID=30","")</f>
        <v/>
      </c>
      <c r="Y97" s="4" t="str">
        <f>HYPERLINK("http://141.218.60.56/~jnz1568/getInfo.php?workbook=11_01.xlsx&amp;sheet=A0&amp;row=97&amp;col=25&amp;number=615.6&amp;sourceID=30","615.6")</f>
        <v>615.6</v>
      </c>
      <c r="Z97" s="4" t="str">
        <f>HYPERLINK("http://141.218.60.56/~jnz1568/getInfo.php?workbook=11_01.xlsx&amp;sheet=A0&amp;row=97&amp;col=26&amp;number==&amp;sourceID=13","=")</f>
        <v>=</v>
      </c>
      <c r="AA97" s="4" t="str">
        <f>HYPERLINK("http://141.218.60.56/~jnz1568/getInfo.php?workbook=11_01.xlsx&amp;sheet=A0&amp;row=97&amp;col=27&amp;number=103000000000&amp;sourceID=13","103000000000")</f>
        <v>103000000000</v>
      </c>
      <c r="AB97" s="4" t="str">
        <f>HYPERLINK("http://141.218.60.56/~jnz1568/getInfo.php?workbook=11_01.xlsx&amp;sheet=A0&amp;row=97&amp;col=28&amp;number=&amp;sourceID=13","")</f>
        <v/>
      </c>
      <c r="AC97" s="4" t="str">
        <f>HYPERLINK("http://141.218.60.56/~jnz1568/getInfo.php?workbook=11_01.xlsx&amp;sheet=A0&amp;row=97&amp;col=29&amp;number=&amp;sourceID=13","")</f>
        <v/>
      </c>
      <c r="AD97" s="4" t="str">
        <f>HYPERLINK("http://141.218.60.56/~jnz1568/getInfo.php?workbook=11_01.xlsx&amp;sheet=A0&amp;row=97&amp;col=30&amp;number=&amp;sourceID=13","")</f>
        <v/>
      </c>
      <c r="AE97" s="4" t="str">
        <f>HYPERLINK("http://141.218.60.56/~jnz1568/getInfo.php?workbook=11_01.xlsx&amp;sheet=A0&amp;row=97&amp;col=31&amp;number=&amp;sourceID=13","")</f>
        <v/>
      </c>
    </row>
    <row r="98" spans="1:31">
      <c r="A98" s="3">
        <v>11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HYPERLINK("http://141.218.60.56/~jnz1568/getInfo.php?workbook=11_01.xlsx&amp;sheet=A0&amp;row=98&amp;col=6&amp;number=&amp;sourceID=18","")</f>
        <v/>
      </c>
      <c r="G98" s="4" t="str">
        <f>HYPERLINK("http://141.218.60.56/~jnz1568/getInfo.php?workbook=11_01.xlsx&amp;sheet=A0&amp;row=98&amp;col=7&amp;number==&amp;sourceID=11","=")</f>
        <v>=</v>
      </c>
      <c r="H98" s="4" t="str">
        <f>HYPERLINK("http://141.218.60.56/~jnz1568/getInfo.php?workbook=11_01.xlsx&amp;sheet=A0&amp;row=98&amp;col=8&amp;number=&amp;sourceID=11","")</f>
        <v/>
      </c>
      <c r="I98" s="4" t="str">
        <f>HYPERLINK("http://141.218.60.56/~jnz1568/getInfo.php?workbook=11_01.xlsx&amp;sheet=A0&amp;row=98&amp;col=9&amp;number=1686400&amp;sourceID=11","1686400")</f>
        <v>1686400</v>
      </c>
      <c r="J98" s="4" t="str">
        <f>HYPERLINK("http://141.218.60.56/~jnz1568/getInfo.php?workbook=11_01.xlsx&amp;sheet=A0&amp;row=98&amp;col=10&amp;number=&amp;sourceID=11","")</f>
        <v/>
      </c>
      <c r="K98" s="4" t="str">
        <f>HYPERLINK("http://141.218.60.56/~jnz1568/getInfo.php?workbook=11_01.xlsx&amp;sheet=A0&amp;row=98&amp;col=11&amp;number=1.5741&amp;sourceID=11","1.5741")</f>
        <v>1.5741</v>
      </c>
      <c r="L98" s="4" t="str">
        <f>HYPERLINK("http://141.218.60.56/~jnz1568/getInfo.php?workbook=11_01.xlsx&amp;sheet=A0&amp;row=98&amp;col=12&amp;number=&amp;sourceID=11","")</f>
        <v/>
      </c>
      <c r="M98" s="4" t="str">
        <f>HYPERLINK("http://141.218.60.56/~jnz1568/getInfo.php?workbook=11_01.xlsx&amp;sheet=A0&amp;row=98&amp;col=13&amp;number=0.015958&amp;sourceID=11","0.015958")</f>
        <v>0.015958</v>
      </c>
      <c r="N98" s="4" t="str">
        <f>HYPERLINK("http://141.218.60.56/~jnz1568/getInfo.php?workbook=11_01.xlsx&amp;sheet=A0&amp;row=98&amp;col=14&amp;number=1686400&amp;sourceID=12","1686400")</f>
        <v>1686400</v>
      </c>
      <c r="O98" s="4" t="str">
        <f>HYPERLINK("http://141.218.60.56/~jnz1568/getInfo.php?workbook=11_01.xlsx&amp;sheet=A0&amp;row=98&amp;col=15&amp;number=&amp;sourceID=12","")</f>
        <v/>
      </c>
      <c r="P98" s="4" t="str">
        <f>HYPERLINK("http://141.218.60.56/~jnz1568/getInfo.php?workbook=11_01.xlsx&amp;sheet=A0&amp;row=98&amp;col=16&amp;number=1686400&amp;sourceID=12","1686400")</f>
        <v>1686400</v>
      </c>
      <c r="Q98" s="4" t="str">
        <f>HYPERLINK("http://141.218.60.56/~jnz1568/getInfo.php?workbook=11_01.xlsx&amp;sheet=A0&amp;row=98&amp;col=17&amp;number=&amp;sourceID=12","")</f>
        <v/>
      </c>
      <c r="R98" s="4" t="str">
        <f>HYPERLINK("http://141.218.60.56/~jnz1568/getInfo.php?workbook=11_01.xlsx&amp;sheet=A0&amp;row=98&amp;col=18&amp;number=1.5741&amp;sourceID=12","1.5741")</f>
        <v>1.5741</v>
      </c>
      <c r="S98" s="4" t="str">
        <f>HYPERLINK("http://141.218.60.56/~jnz1568/getInfo.php?workbook=11_01.xlsx&amp;sheet=A0&amp;row=98&amp;col=19&amp;number=&amp;sourceID=12","")</f>
        <v/>
      </c>
      <c r="T98" s="4" t="str">
        <f>HYPERLINK("http://141.218.60.56/~jnz1568/getInfo.php?workbook=11_01.xlsx&amp;sheet=A0&amp;row=98&amp;col=20&amp;number=0.015958&amp;sourceID=12","0.015958")</f>
        <v>0.015958</v>
      </c>
      <c r="U98" s="4" t="str">
        <f>HYPERLINK("http://141.218.60.56/~jnz1568/getInfo.php?workbook=11_01.xlsx&amp;sheet=A0&amp;row=98&amp;col=21&amp;number=1686001.574&amp;sourceID=30","1686001.574")</f>
        <v>1686001.574</v>
      </c>
      <c r="V98" s="4" t="str">
        <f>HYPERLINK("http://141.218.60.56/~jnz1568/getInfo.php?workbook=11_01.xlsx&amp;sheet=A0&amp;row=98&amp;col=22&amp;number=&amp;sourceID=30","")</f>
        <v/>
      </c>
      <c r="W98" s="4" t="str">
        <f>HYPERLINK("http://141.218.60.56/~jnz1568/getInfo.php?workbook=11_01.xlsx&amp;sheet=A0&amp;row=98&amp;col=23&amp;number=1686000&amp;sourceID=30","1686000")</f>
        <v>1686000</v>
      </c>
      <c r="X98" s="4" t="str">
        <f>HYPERLINK("http://141.218.60.56/~jnz1568/getInfo.php?workbook=11_01.xlsx&amp;sheet=A0&amp;row=98&amp;col=24&amp;number=1.574&amp;sourceID=30","1.574")</f>
        <v>1.574</v>
      </c>
      <c r="Y98" s="4" t="str">
        <f>HYPERLINK("http://141.218.60.56/~jnz1568/getInfo.php?workbook=11_01.xlsx&amp;sheet=A0&amp;row=98&amp;col=25&amp;number=&amp;sourceID=30","")</f>
        <v/>
      </c>
      <c r="Z98" s="4" t="str">
        <f>HYPERLINK("http://141.218.60.56/~jnz1568/getInfo.php?workbook=11_01.xlsx&amp;sheet=A0&amp;row=98&amp;col=26&amp;number==&amp;sourceID=13","=")</f>
        <v>=</v>
      </c>
      <c r="AA98" s="4" t="str">
        <f>HYPERLINK("http://141.218.60.56/~jnz1568/getInfo.php?workbook=11_01.xlsx&amp;sheet=A0&amp;row=98&amp;col=27&amp;number=&amp;sourceID=13","")</f>
        <v/>
      </c>
      <c r="AB98" s="4" t="str">
        <f>HYPERLINK("http://141.218.60.56/~jnz1568/getInfo.php?workbook=11_01.xlsx&amp;sheet=A0&amp;row=98&amp;col=28&amp;number=1680000&amp;sourceID=13","1680000")</f>
        <v>1680000</v>
      </c>
      <c r="AC98" s="4" t="str">
        <f>HYPERLINK("http://141.218.60.56/~jnz1568/getInfo.php?workbook=11_01.xlsx&amp;sheet=A0&amp;row=98&amp;col=29&amp;number=&amp;sourceID=13","")</f>
        <v/>
      </c>
      <c r="AD98" s="4" t="str">
        <f>HYPERLINK("http://141.218.60.56/~jnz1568/getInfo.php?workbook=11_01.xlsx&amp;sheet=A0&amp;row=98&amp;col=30&amp;number=1.57&amp;sourceID=13","1.57")</f>
        <v>1.57</v>
      </c>
      <c r="AE98" s="4" t="str">
        <f>HYPERLINK("http://141.218.60.56/~jnz1568/getInfo.php?workbook=11_01.xlsx&amp;sheet=A0&amp;row=98&amp;col=31&amp;number=&amp;sourceID=13","")</f>
        <v/>
      </c>
    </row>
    <row r="99" spans="1:31">
      <c r="A99" s="3">
        <v>11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HYPERLINK("http://141.218.60.56/~jnz1568/getInfo.php?workbook=11_01.xlsx&amp;sheet=A0&amp;row=99&amp;col=6&amp;number=&amp;sourceID=18","")</f>
        <v/>
      </c>
      <c r="G99" s="4" t="str">
        <f>HYPERLINK("http://141.218.60.56/~jnz1568/getInfo.php?workbook=11_01.xlsx&amp;sheet=A0&amp;row=99&amp;col=7&amp;number==&amp;sourceID=11","=")</f>
        <v>=</v>
      </c>
      <c r="H99" s="4" t="str">
        <f>HYPERLINK("http://141.218.60.56/~jnz1568/getInfo.php?workbook=11_01.xlsx&amp;sheet=A0&amp;row=99&amp;col=8&amp;number=&amp;sourceID=11","")</f>
        <v/>
      </c>
      <c r="I99" s="4" t="str">
        <f>HYPERLINK("http://141.218.60.56/~jnz1568/getInfo.php?workbook=11_01.xlsx&amp;sheet=A0&amp;row=99&amp;col=9&amp;number=&amp;sourceID=11","")</f>
        <v/>
      </c>
      <c r="J99" s="4" t="str">
        <f>HYPERLINK("http://141.218.60.56/~jnz1568/getInfo.php?workbook=11_01.xlsx&amp;sheet=A0&amp;row=99&amp;col=10&amp;number=0&amp;sourceID=11","0")</f>
        <v>0</v>
      </c>
      <c r="K99" s="4" t="str">
        <f>HYPERLINK("http://141.218.60.56/~jnz1568/getInfo.php?workbook=11_01.xlsx&amp;sheet=A0&amp;row=99&amp;col=11&amp;number=&amp;sourceID=11","")</f>
        <v/>
      </c>
      <c r="L99" s="4" t="str">
        <f>HYPERLINK("http://141.218.60.56/~jnz1568/getInfo.php?workbook=11_01.xlsx&amp;sheet=A0&amp;row=99&amp;col=12&amp;number=4.328e-12&amp;sourceID=11","4.328e-12")</f>
        <v>4.328e-12</v>
      </c>
      <c r="M99" s="4" t="str">
        <f>HYPERLINK("http://141.218.60.56/~jnz1568/getInfo.php?workbook=11_01.xlsx&amp;sheet=A0&amp;row=99&amp;col=13&amp;number=&amp;sourceID=11","")</f>
        <v/>
      </c>
      <c r="N99" s="4" t="str">
        <f>HYPERLINK("http://141.218.60.56/~jnz1568/getInfo.php?workbook=11_01.xlsx&amp;sheet=A0&amp;row=99&amp;col=14&amp;number=4.328e-12&amp;sourceID=12","4.328e-12")</f>
        <v>4.328e-12</v>
      </c>
      <c r="O99" s="4" t="str">
        <f>HYPERLINK("http://141.218.60.56/~jnz1568/getInfo.php?workbook=11_01.xlsx&amp;sheet=A0&amp;row=99&amp;col=15&amp;number=&amp;sourceID=12","")</f>
        <v/>
      </c>
      <c r="P99" s="4" t="str">
        <f>HYPERLINK("http://141.218.60.56/~jnz1568/getInfo.php?workbook=11_01.xlsx&amp;sheet=A0&amp;row=99&amp;col=16&amp;number=&amp;sourceID=12","")</f>
        <v/>
      </c>
      <c r="Q99" s="4" t="str">
        <f>HYPERLINK("http://141.218.60.56/~jnz1568/getInfo.php?workbook=11_01.xlsx&amp;sheet=A0&amp;row=99&amp;col=17&amp;number=0&amp;sourceID=12","0")</f>
        <v>0</v>
      </c>
      <c r="R99" s="4" t="str">
        <f>HYPERLINK("http://141.218.60.56/~jnz1568/getInfo.php?workbook=11_01.xlsx&amp;sheet=A0&amp;row=99&amp;col=18&amp;number=&amp;sourceID=12","")</f>
        <v/>
      </c>
      <c r="S99" s="4" t="str">
        <f>HYPERLINK("http://141.218.60.56/~jnz1568/getInfo.php?workbook=11_01.xlsx&amp;sheet=A0&amp;row=99&amp;col=19&amp;number=4.328e-12&amp;sourceID=12","4.328e-12")</f>
        <v>4.328e-12</v>
      </c>
      <c r="T99" s="4" t="str">
        <f>HYPERLINK("http://141.218.60.56/~jnz1568/getInfo.php?workbook=11_01.xlsx&amp;sheet=A0&amp;row=99&amp;col=20&amp;number=&amp;sourceID=12","")</f>
        <v/>
      </c>
      <c r="U99" s="4" t="str">
        <f>HYPERLINK("http://141.218.60.56/~jnz1568/getInfo.php?workbook=11_01.xlsx&amp;sheet=A0&amp;row=99&amp;col=21&amp;number=4.328e-12&amp;sourceID=30","4.328e-12")</f>
        <v>4.328e-12</v>
      </c>
      <c r="V99" s="4" t="str">
        <f>HYPERLINK("http://141.218.60.56/~jnz1568/getInfo.php?workbook=11_01.xlsx&amp;sheet=A0&amp;row=99&amp;col=22&amp;number=&amp;sourceID=30","")</f>
        <v/>
      </c>
      <c r="W99" s="4" t="str">
        <f>HYPERLINK("http://141.218.60.56/~jnz1568/getInfo.php?workbook=11_01.xlsx&amp;sheet=A0&amp;row=99&amp;col=23&amp;number=&amp;sourceID=30","")</f>
        <v/>
      </c>
      <c r="X99" s="4" t="str">
        <f>HYPERLINK("http://141.218.60.56/~jnz1568/getInfo.php?workbook=11_01.xlsx&amp;sheet=A0&amp;row=99&amp;col=24&amp;number=&amp;sourceID=30","")</f>
        <v/>
      </c>
      <c r="Y99" s="4" t="str">
        <f>HYPERLINK("http://141.218.60.56/~jnz1568/getInfo.php?workbook=11_01.xlsx&amp;sheet=A0&amp;row=99&amp;col=25&amp;number=4.328e-12&amp;sourceID=30","4.328e-12")</f>
        <v>4.328e-12</v>
      </c>
      <c r="Z99" s="4" t="str">
        <f>HYPERLINK("http://141.218.60.56/~jnz1568/getInfo.php?workbook=11_01.xlsx&amp;sheet=A0&amp;row=99&amp;col=26&amp;number=&amp;sourceID=13","")</f>
        <v/>
      </c>
      <c r="AA99" s="4" t="str">
        <f>HYPERLINK("http://141.218.60.56/~jnz1568/getInfo.php?workbook=11_01.xlsx&amp;sheet=A0&amp;row=99&amp;col=27&amp;number=&amp;sourceID=13","")</f>
        <v/>
      </c>
      <c r="AB99" s="4" t="str">
        <f>HYPERLINK("http://141.218.60.56/~jnz1568/getInfo.php?workbook=11_01.xlsx&amp;sheet=A0&amp;row=99&amp;col=28&amp;number=&amp;sourceID=13","")</f>
        <v/>
      </c>
      <c r="AC99" s="4" t="str">
        <f>HYPERLINK("http://141.218.60.56/~jnz1568/getInfo.php?workbook=11_01.xlsx&amp;sheet=A0&amp;row=99&amp;col=29&amp;number=&amp;sourceID=13","")</f>
        <v/>
      </c>
      <c r="AD99" s="4" t="str">
        <f>HYPERLINK("http://141.218.60.56/~jnz1568/getInfo.php?workbook=11_01.xlsx&amp;sheet=A0&amp;row=99&amp;col=30&amp;number=&amp;sourceID=13","")</f>
        <v/>
      </c>
      <c r="AE99" s="4" t="str">
        <f>HYPERLINK("http://141.218.60.56/~jnz1568/getInfo.php?workbook=11_01.xlsx&amp;sheet=A0&amp;row=99&amp;col=31&amp;number=&amp;sourceID=13","")</f>
        <v/>
      </c>
    </row>
    <row r="100" spans="1:31">
      <c r="A100" s="3">
        <v>11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HYPERLINK("http://141.218.60.56/~jnz1568/getInfo.php?workbook=11_01.xlsx&amp;sheet=A0&amp;row=100&amp;col=6&amp;number=&amp;sourceID=18","")</f>
        <v/>
      </c>
      <c r="G100" s="4" t="str">
        <f>HYPERLINK("http://141.218.60.56/~jnz1568/getInfo.php?workbook=11_01.xlsx&amp;sheet=A0&amp;row=100&amp;col=7&amp;number==&amp;sourceID=11","=")</f>
        <v>=</v>
      </c>
      <c r="H100" s="4" t="str">
        <f>HYPERLINK("http://141.218.60.56/~jnz1568/getInfo.php?workbook=11_01.xlsx&amp;sheet=A0&amp;row=100&amp;col=8&amp;number=&amp;sourceID=11","")</f>
        <v/>
      </c>
      <c r="I100" s="4" t="str">
        <f>HYPERLINK("http://141.218.60.56/~jnz1568/getInfo.php?workbook=11_01.xlsx&amp;sheet=A0&amp;row=100&amp;col=9&amp;number=2.515e-07&amp;sourceID=11","2.515e-07")</f>
        <v>2.515e-07</v>
      </c>
      <c r="J100" s="4" t="str">
        <f>HYPERLINK("http://141.218.60.56/~jnz1568/getInfo.php?workbook=11_01.xlsx&amp;sheet=A0&amp;row=100&amp;col=10&amp;number=&amp;sourceID=11","")</f>
        <v/>
      </c>
      <c r="K100" s="4" t="str">
        <f>HYPERLINK("http://141.218.60.56/~jnz1568/getInfo.php?workbook=11_01.xlsx&amp;sheet=A0&amp;row=100&amp;col=11&amp;number=&amp;sourceID=11","")</f>
        <v/>
      </c>
      <c r="L100" s="4" t="str">
        <f>HYPERLINK("http://141.218.60.56/~jnz1568/getInfo.php?workbook=11_01.xlsx&amp;sheet=A0&amp;row=100&amp;col=12&amp;number=&amp;sourceID=11","")</f>
        <v/>
      </c>
      <c r="M100" s="4" t="str">
        <f>HYPERLINK("http://141.218.60.56/~jnz1568/getInfo.php?workbook=11_01.xlsx&amp;sheet=A0&amp;row=100&amp;col=13&amp;number=0&amp;sourceID=11","0")</f>
        <v>0</v>
      </c>
      <c r="N100" s="4" t="str">
        <f>HYPERLINK("http://141.218.60.56/~jnz1568/getInfo.php?workbook=11_01.xlsx&amp;sheet=A0&amp;row=100&amp;col=14&amp;number=2.5151e-07&amp;sourceID=12","2.5151e-07")</f>
        <v>2.5151e-07</v>
      </c>
      <c r="O100" s="4" t="str">
        <f>HYPERLINK("http://141.218.60.56/~jnz1568/getInfo.php?workbook=11_01.xlsx&amp;sheet=A0&amp;row=100&amp;col=15&amp;number=&amp;sourceID=12","")</f>
        <v/>
      </c>
      <c r="P100" s="4" t="str">
        <f>HYPERLINK("http://141.218.60.56/~jnz1568/getInfo.php?workbook=11_01.xlsx&amp;sheet=A0&amp;row=100&amp;col=16&amp;number=2.5151e-07&amp;sourceID=12","2.5151e-07")</f>
        <v>2.5151e-07</v>
      </c>
      <c r="Q100" s="4" t="str">
        <f>HYPERLINK("http://141.218.60.56/~jnz1568/getInfo.php?workbook=11_01.xlsx&amp;sheet=A0&amp;row=100&amp;col=17&amp;number=&amp;sourceID=12","")</f>
        <v/>
      </c>
      <c r="R100" s="4" t="str">
        <f>HYPERLINK("http://141.218.60.56/~jnz1568/getInfo.php?workbook=11_01.xlsx&amp;sheet=A0&amp;row=100&amp;col=18&amp;number=&amp;sourceID=12","")</f>
        <v/>
      </c>
      <c r="S100" s="4" t="str">
        <f>HYPERLINK("http://141.218.60.56/~jnz1568/getInfo.php?workbook=11_01.xlsx&amp;sheet=A0&amp;row=100&amp;col=19&amp;number=&amp;sourceID=12","")</f>
        <v/>
      </c>
      <c r="T100" s="4" t="str">
        <f>HYPERLINK("http://141.218.60.56/~jnz1568/getInfo.php?workbook=11_01.xlsx&amp;sheet=A0&amp;row=100&amp;col=20&amp;number=0&amp;sourceID=12","0")</f>
        <v>0</v>
      </c>
      <c r="U100" s="4" t="str">
        <f>HYPERLINK("http://141.218.60.56/~jnz1568/getInfo.php?workbook=11_01.xlsx&amp;sheet=A0&amp;row=100&amp;col=21&amp;number=2.515e-07&amp;sourceID=30","2.515e-07")</f>
        <v>2.515e-07</v>
      </c>
      <c r="V100" s="4" t="str">
        <f>HYPERLINK("http://141.218.60.56/~jnz1568/getInfo.php?workbook=11_01.xlsx&amp;sheet=A0&amp;row=100&amp;col=22&amp;number=&amp;sourceID=30","")</f>
        <v/>
      </c>
      <c r="W100" s="4" t="str">
        <f>HYPERLINK("http://141.218.60.56/~jnz1568/getInfo.php?workbook=11_01.xlsx&amp;sheet=A0&amp;row=100&amp;col=23&amp;number=2.515e-07&amp;sourceID=30","2.515e-07")</f>
        <v>2.515e-07</v>
      </c>
      <c r="X100" s="4" t="str">
        <f>HYPERLINK("http://141.218.60.56/~jnz1568/getInfo.php?workbook=11_01.xlsx&amp;sheet=A0&amp;row=100&amp;col=24&amp;number=&amp;sourceID=30","")</f>
        <v/>
      </c>
      <c r="Y100" s="4" t="str">
        <f>HYPERLINK("http://141.218.60.56/~jnz1568/getInfo.php?workbook=11_01.xlsx&amp;sheet=A0&amp;row=100&amp;col=25&amp;number=&amp;sourceID=30","")</f>
        <v/>
      </c>
      <c r="Z100" s="4" t="str">
        <f>HYPERLINK("http://141.218.60.56/~jnz1568/getInfo.php?workbook=11_01.xlsx&amp;sheet=A0&amp;row=100&amp;col=26&amp;number=&amp;sourceID=13","")</f>
        <v/>
      </c>
      <c r="AA100" s="4" t="str">
        <f>HYPERLINK("http://141.218.60.56/~jnz1568/getInfo.php?workbook=11_01.xlsx&amp;sheet=A0&amp;row=100&amp;col=27&amp;number=&amp;sourceID=13","")</f>
        <v/>
      </c>
      <c r="AB100" s="4" t="str">
        <f>HYPERLINK("http://141.218.60.56/~jnz1568/getInfo.php?workbook=11_01.xlsx&amp;sheet=A0&amp;row=100&amp;col=28&amp;number=&amp;sourceID=13","")</f>
        <v/>
      </c>
      <c r="AC100" s="4" t="str">
        <f>HYPERLINK("http://141.218.60.56/~jnz1568/getInfo.php?workbook=11_01.xlsx&amp;sheet=A0&amp;row=100&amp;col=29&amp;number=&amp;sourceID=13","")</f>
        <v/>
      </c>
      <c r="AD100" s="4" t="str">
        <f>HYPERLINK("http://141.218.60.56/~jnz1568/getInfo.php?workbook=11_01.xlsx&amp;sheet=A0&amp;row=100&amp;col=30&amp;number=&amp;sourceID=13","")</f>
        <v/>
      </c>
      <c r="AE100" s="4" t="str">
        <f>HYPERLINK("http://141.218.60.56/~jnz1568/getInfo.php?workbook=11_01.xlsx&amp;sheet=A0&amp;row=100&amp;col=31&amp;number=&amp;sourceID=13","")</f>
        <v/>
      </c>
    </row>
    <row r="101" spans="1:31">
      <c r="A101" s="3">
        <v>11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HYPERLINK("http://141.218.60.56/~jnz1568/getInfo.php?workbook=11_01.xlsx&amp;sheet=A0&amp;row=101&amp;col=6&amp;number=&amp;sourceID=18","")</f>
        <v/>
      </c>
      <c r="G101" s="4" t="str">
        <f>HYPERLINK("http://141.218.60.56/~jnz1568/getInfo.php?workbook=11_01.xlsx&amp;sheet=A0&amp;row=101&amp;col=7&amp;number==&amp;sourceID=11","=")</f>
        <v>=</v>
      </c>
      <c r="H101" s="4" t="str">
        <f>HYPERLINK("http://141.218.60.56/~jnz1568/getInfo.php?workbook=11_01.xlsx&amp;sheet=A0&amp;row=101&amp;col=8&amp;number=&amp;sourceID=11","")</f>
        <v/>
      </c>
      <c r="I101" s="4" t="str">
        <f>HYPERLINK("http://141.218.60.56/~jnz1568/getInfo.php?workbook=11_01.xlsx&amp;sheet=A0&amp;row=101&amp;col=9&amp;number=6.1226e-11&amp;sourceID=11","6.1226e-11")</f>
        <v>6.1226e-11</v>
      </c>
      <c r="J101" s="4" t="str">
        <f>HYPERLINK("http://141.218.60.56/~jnz1568/getInfo.php?workbook=11_01.xlsx&amp;sheet=A0&amp;row=101&amp;col=10&amp;number=&amp;sourceID=11","")</f>
        <v/>
      </c>
      <c r="K101" s="4" t="str">
        <f>HYPERLINK("http://141.218.60.56/~jnz1568/getInfo.php?workbook=11_01.xlsx&amp;sheet=A0&amp;row=101&amp;col=11&amp;number=0.00011976&amp;sourceID=11","0.00011976")</f>
        <v>0.00011976</v>
      </c>
      <c r="L101" s="4" t="str">
        <f>HYPERLINK("http://141.218.60.56/~jnz1568/getInfo.php?workbook=11_01.xlsx&amp;sheet=A0&amp;row=101&amp;col=12&amp;number=&amp;sourceID=11","")</f>
        <v/>
      </c>
      <c r="M101" s="4" t="str">
        <f>HYPERLINK("http://141.218.60.56/~jnz1568/getInfo.php?workbook=11_01.xlsx&amp;sheet=A0&amp;row=101&amp;col=13&amp;number=0&amp;sourceID=11","0")</f>
        <v>0</v>
      </c>
      <c r="N101" s="4" t="str">
        <f>HYPERLINK("http://141.218.60.56/~jnz1568/getInfo.php?workbook=11_01.xlsx&amp;sheet=A0&amp;row=101&amp;col=14&amp;number=0.00011976&amp;sourceID=12","0.00011976")</f>
        <v>0.00011976</v>
      </c>
      <c r="O101" s="4" t="str">
        <f>HYPERLINK("http://141.218.60.56/~jnz1568/getInfo.php?workbook=11_01.xlsx&amp;sheet=A0&amp;row=101&amp;col=15&amp;number=&amp;sourceID=12","")</f>
        <v/>
      </c>
      <c r="P101" s="4" t="str">
        <f>HYPERLINK("http://141.218.60.56/~jnz1568/getInfo.php?workbook=11_01.xlsx&amp;sheet=A0&amp;row=101&amp;col=16&amp;number=6.1229e-11&amp;sourceID=12","6.1229e-11")</f>
        <v>6.1229e-11</v>
      </c>
      <c r="Q101" s="4" t="str">
        <f>HYPERLINK("http://141.218.60.56/~jnz1568/getInfo.php?workbook=11_01.xlsx&amp;sheet=A0&amp;row=101&amp;col=17&amp;number=&amp;sourceID=12","")</f>
        <v/>
      </c>
      <c r="R101" s="4" t="str">
        <f>HYPERLINK("http://141.218.60.56/~jnz1568/getInfo.php?workbook=11_01.xlsx&amp;sheet=A0&amp;row=101&amp;col=18&amp;number=0.00011976&amp;sourceID=12","0.00011976")</f>
        <v>0.00011976</v>
      </c>
      <c r="S101" s="4" t="str">
        <f>HYPERLINK("http://141.218.60.56/~jnz1568/getInfo.php?workbook=11_01.xlsx&amp;sheet=A0&amp;row=101&amp;col=19&amp;number=&amp;sourceID=12","")</f>
        <v/>
      </c>
      <c r="T101" s="4" t="str">
        <f>HYPERLINK("http://141.218.60.56/~jnz1568/getInfo.php?workbook=11_01.xlsx&amp;sheet=A0&amp;row=101&amp;col=20&amp;number=0&amp;sourceID=12","0")</f>
        <v>0</v>
      </c>
      <c r="U101" s="4" t="str">
        <f>HYPERLINK("http://141.218.60.56/~jnz1568/getInfo.php?workbook=11_01.xlsx&amp;sheet=A0&amp;row=101&amp;col=21&amp;number=0.00011980006123&amp;sourceID=30","0.00011980006123")</f>
        <v>0.00011980006123</v>
      </c>
      <c r="V101" s="4" t="str">
        <f>HYPERLINK("http://141.218.60.56/~jnz1568/getInfo.php?workbook=11_01.xlsx&amp;sheet=A0&amp;row=101&amp;col=22&amp;number=&amp;sourceID=30","")</f>
        <v/>
      </c>
      <c r="W101" s="4" t="str">
        <f>HYPERLINK("http://141.218.60.56/~jnz1568/getInfo.php?workbook=11_01.xlsx&amp;sheet=A0&amp;row=101&amp;col=23&amp;number=6.123e-11&amp;sourceID=30","6.123e-11")</f>
        <v>6.123e-11</v>
      </c>
      <c r="X101" s="4" t="str">
        <f>HYPERLINK("http://141.218.60.56/~jnz1568/getInfo.php?workbook=11_01.xlsx&amp;sheet=A0&amp;row=101&amp;col=24&amp;number=0.0001198&amp;sourceID=30","0.0001198")</f>
        <v>0.0001198</v>
      </c>
      <c r="Y101" s="4" t="str">
        <f>HYPERLINK("http://141.218.60.56/~jnz1568/getInfo.php?workbook=11_01.xlsx&amp;sheet=A0&amp;row=101&amp;col=25&amp;number=&amp;sourceID=30","")</f>
        <v/>
      </c>
      <c r="Z101" s="4" t="str">
        <f>HYPERLINK("http://141.218.60.56/~jnz1568/getInfo.php?workbook=11_01.xlsx&amp;sheet=A0&amp;row=101&amp;col=26&amp;number==SUM(AA101:AE101)&amp;sourceID=13","=SUM(AA101:AE101)")</f>
        <v>=SUM(AA101:AE101)</v>
      </c>
      <c r="AA101" s="4" t="str">
        <f>HYPERLINK("http://141.218.60.56/~jnz1568/getInfo.php?workbook=11_01.xlsx&amp;sheet=A0&amp;row=101&amp;col=27&amp;number=&amp;sourceID=13","")</f>
        <v/>
      </c>
      <c r="AB101" s="4" t="str">
        <f>HYPERLINK("http://141.218.60.56/~jnz1568/getInfo.php?workbook=11_01.xlsx&amp;sheet=A0&amp;row=101&amp;col=28&amp;number=6.05e-11&amp;sourceID=13","6.05e-11")</f>
        <v>6.05e-11</v>
      </c>
      <c r="AC101" s="4" t="str">
        <f>HYPERLINK("http://141.218.60.56/~jnz1568/getInfo.php?workbook=11_01.xlsx&amp;sheet=A0&amp;row=101&amp;col=29&amp;number=&amp;sourceID=13","")</f>
        <v/>
      </c>
      <c r="AD101" s="4" t="str">
        <f>HYPERLINK("http://141.218.60.56/~jnz1568/getInfo.php?workbook=11_01.xlsx&amp;sheet=A0&amp;row=101&amp;col=30&amp;number=0.000119&amp;sourceID=13","0.000119")</f>
        <v>0.000119</v>
      </c>
      <c r="AE101" s="4" t="str">
        <f>HYPERLINK("http://141.218.60.56/~jnz1568/getInfo.php?workbook=11_01.xlsx&amp;sheet=A0&amp;row=101&amp;col=31&amp;number=&amp;sourceID=13","")</f>
        <v/>
      </c>
    </row>
    <row r="102" spans="1:31">
      <c r="A102" s="3">
        <v>11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HYPERLINK("http://141.218.60.56/~jnz1568/getInfo.php?workbook=11_01.xlsx&amp;sheet=A0&amp;row=102&amp;col=6&amp;number=&amp;sourceID=18","")</f>
        <v/>
      </c>
      <c r="G102" s="4" t="str">
        <f>HYPERLINK("http://141.218.60.56/~jnz1568/getInfo.php?workbook=11_01.xlsx&amp;sheet=A0&amp;row=102&amp;col=7&amp;number==&amp;sourceID=11","=")</f>
        <v>=</v>
      </c>
      <c r="H102" s="4" t="str">
        <f>HYPERLINK("http://141.218.60.56/~jnz1568/getInfo.php?workbook=11_01.xlsx&amp;sheet=A0&amp;row=102&amp;col=8&amp;number=32.105&amp;sourceID=11","32.105")</f>
        <v>32.105</v>
      </c>
      <c r="I102" s="4" t="str">
        <f>HYPERLINK("http://141.218.60.56/~jnz1568/getInfo.php?workbook=11_01.xlsx&amp;sheet=A0&amp;row=102&amp;col=9&amp;number=&amp;sourceID=11","")</f>
        <v/>
      </c>
      <c r="J102" s="4" t="str">
        <f>HYPERLINK("http://141.218.60.56/~jnz1568/getInfo.php?workbook=11_01.xlsx&amp;sheet=A0&amp;row=102&amp;col=10&amp;number=0&amp;sourceID=11","0")</f>
        <v>0</v>
      </c>
      <c r="K102" s="4" t="str">
        <f>HYPERLINK("http://141.218.60.56/~jnz1568/getInfo.php?workbook=11_01.xlsx&amp;sheet=A0&amp;row=102&amp;col=11&amp;number=&amp;sourceID=11","")</f>
        <v/>
      </c>
      <c r="L102" s="4" t="str">
        <f>HYPERLINK("http://141.218.60.56/~jnz1568/getInfo.php?workbook=11_01.xlsx&amp;sheet=A0&amp;row=102&amp;col=12&amp;number=2.3e-14&amp;sourceID=11","2.3e-14")</f>
        <v>2.3e-14</v>
      </c>
      <c r="M102" s="4" t="str">
        <f>HYPERLINK("http://141.218.60.56/~jnz1568/getInfo.php?workbook=11_01.xlsx&amp;sheet=A0&amp;row=102&amp;col=13&amp;number=&amp;sourceID=11","")</f>
        <v/>
      </c>
      <c r="N102" s="4" t="str">
        <f>HYPERLINK("http://141.218.60.56/~jnz1568/getInfo.php?workbook=11_01.xlsx&amp;sheet=A0&amp;row=102&amp;col=14&amp;number=32.106&amp;sourceID=12","32.106")</f>
        <v>32.106</v>
      </c>
      <c r="O102" s="4" t="str">
        <f>HYPERLINK("http://141.218.60.56/~jnz1568/getInfo.php?workbook=11_01.xlsx&amp;sheet=A0&amp;row=102&amp;col=15&amp;number=32.106&amp;sourceID=12","32.106")</f>
        <v>32.106</v>
      </c>
      <c r="P102" s="4" t="str">
        <f>HYPERLINK("http://141.218.60.56/~jnz1568/getInfo.php?workbook=11_01.xlsx&amp;sheet=A0&amp;row=102&amp;col=16&amp;number=&amp;sourceID=12","")</f>
        <v/>
      </c>
      <c r="Q102" s="4" t="str">
        <f>HYPERLINK("http://141.218.60.56/~jnz1568/getInfo.php?workbook=11_01.xlsx&amp;sheet=A0&amp;row=102&amp;col=17&amp;number=0&amp;sourceID=12","0")</f>
        <v>0</v>
      </c>
      <c r="R102" s="4" t="str">
        <f>HYPERLINK("http://141.218.60.56/~jnz1568/getInfo.php?workbook=11_01.xlsx&amp;sheet=A0&amp;row=102&amp;col=18&amp;number=&amp;sourceID=12","")</f>
        <v/>
      </c>
      <c r="S102" s="4" t="str">
        <f>HYPERLINK("http://141.218.60.56/~jnz1568/getInfo.php?workbook=11_01.xlsx&amp;sheet=A0&amp;row=102&amp;col=19&amp;number=2.3e-14&amp;sourceID=12","2.3e-14")</f>
        <v>2.3e-14</v>
      </c>
      <c r="T102" s="4" t="str">
        <f>HYPERLINK("http://141.218.60.56/~jnz1568/getInfo.php?workbook=11_01.xlsx&amp;sheet=A0&amp;row=102&amp;col=20&amp;number=&amp;sourceID=12","")</f>
        <v/>
      </c>
      <c r="U102" s="4" t="str">
        <f>HYPERLINK("http://141.218.60.56/~jnz1568/getInfo.php?workbook=11_01.xlsx&amp;sheet=A0&amp;row=102&amp;col=21&amp;number=32.11&amp;sourceID=30","32.11")</f>
        <v>32.11</v>
      </c>
      <c r="V102" s="4" t="str">
        <f>HYPERLINK("http://141.218.60.56/~jnz1568/getInfo.php?workbook=11_01.xlsx&amp;sheet=A0&amp;row=102&amp;col=22&amp;number=32.11&amp;sourceID=30","32.11")</f>
        <v>32.11</v>
      </c>
      <c r="W102" s="4" t="str">
        <f>HYPERLINK("http://141.218.60.56/~jnz1568/getInfo.php?workbook=11_01.xlsx&amp;sheet=A0&amp;row=102&amp;col=23&amp;number=&amp;sourceID=30","")</f>
        <v/>
      </c>
      <c r="X102" s="4" t="str">
        <f>HYPERLINK("http://141.218.60.56/~jnz1568/getInfo.php?workbook=11_01.xlsx&amp;sheet=A0&amp;row=102&amp;col=24&amp;number=&amp;sourceID=30","")</f>
        <v/>
      </c>
      <c r="Y102" s="4" t="str">
        <f>HYPERLINK("http://141.218.60.56/~jnz1568/getInfo.php?workbook=11_01.xlsx&amp;sheet=A0&amp;row=102&amp;col=25&amp;number=2.3e-14&amp;sourceID=30","2.3e-14")</f>
        <v>2.3e-14</v>
      </c>
      <c r="Z102" s="4" t="str">
        <f>HYPERLINK("http://141.218.60.56/~jnz1568/getInfo.php?workbook=11_01.xlsx&amp;sheet=A0&amp;row=102&amp;col=26&amp;number==SUM(AA102:AE102)&amp;sourceID=13","=SUM(AA102:AE102)")</f>
        <v>=SUM(AA102:AE102)</v>
      </c>
      <c r="AA102" s="4" t="str">
        <f>HYPERLINK("http://141.218.60.56/~jnz1568/getInfo.php?workbook=11_01.xlsx&amp;sheet=A0&amp;row=102&amp;col=27&amp;number=31.7&amp;sourceID=13","31.7")</f>
        <v>31.7</v>
      </c>
      <c r="AB102" s="4" t="str">
        <f>HYPERLINK("http://141.218.60.56/~jnz1568/getInfo.php?workbook=11_01.xlsx&amp;sheet=A0&amp;row=102&amp;col=28&amp;number=&amp;sourceID=13","")</f>
        <v/>
      </c>
      <c r="AC102" s="4" t="str">
        <f>HYPERLINK("http://141.218.60.56/~jnz1568/getInfo.php?workbook=11_01.xlsx&amp;sheet=A0&amp;row=102&amp;col=29&amp;number=&amp;sourceID=13","")</f>
        <v/>
      </c>
      <c r="AD102" s="4" t="str">
        <f>HYPERLINK("http://141.218.60.56/~jnz1568/getInfo.php?workbook=11_01.xlsx&amp;sheet=A0&amp;row=102&amp;col=30&amp;number=&amp;sourceID=13","")</f>
        <v/>
      </c>
      <c r="AE102" s="4" t="str">
        <f>HYPERLINK("http://141.218.60.56/~jnz1568/getInfo.php?workbook=11_01.xlsx&amp;sheet=A0&amp;row=102&amp;col=31&amp;number=&amp;sourceID=13","")</f>
        <v/>
      </c>
    </row>
    <row r="103" spans="1:31">
      <c r="A103" s="3">
        <v>11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HYPERLINK("http://141.218.60.56/~jnz1568/getInfo.php?workbook=11_01.xlsx&amp;sheet=A0&amp;row=103&amp;col=6&amp;number=&amp;sourceID=18","")</f>
        <v/>
      </c>
      <c r="G103" s="4" t="str">
        <f>HYPERLINK("http://141.218.60.56/~jnz1568/getInfo.php?workbook=11_01.xlsx&amp;sheet=A0&amp;row=103&amp;col=7&amp;number==&amp;sourceID=11","=")</f>
        <v>=</v>
      </c>
      <c r="H103" s="4" t="str">
        <f>HYPERLINK("http://141.218.60.56/~jnz1568/getInfo.php?workbook=11_01.xlsx&amp;sheet=A0&amp;row=103&amp;col=8&amp;number=&amp;sourceID=11","")</f>
        <v/>
      </c>
      <c r="I103" s="4" t="str">
        <f>HYPERLINK("http://141.218.60.56/~jnz1568/getInfo.php?workbook=11_01.xlsx&amp;sheet=A0&amp;row=103&amp;col=9&amp;number=&amp;sourceID=11","")</f>
        <v/>
      </c>
      <c r="J103" s="4" t="str">
        <f>HYPERLINK("http://141.218.60.56/~jnz1568/getInfo.php?workbook=11_01.xlsx&amp;sheet=A0&amp;row=103&amp;col=10&amp;number=66126&amp;sourceID=11","66126")</f>
        <v>66126</v>
      </c>
      <c r="K103" s="4" t="str">
        <f>HYPERLINK("http://141.218.60.56/~jnz1568/getInfo.php?workbook=11_01.xlsx&amp;sheet=A0&amp;row=103&amp;col=11&amp;number=&amp;sourceID=11","")</f>
        <v/>
      </c>
      <c r="L103" s="4" t="str">
        <f>HYPERLINK("http://141.218.60.56/~jnz1568/getInfo.php?workbook=11_01.xlsx&amp;sheet=A0&amp;row=103&amp;col=12&amp;number=&amp;sourceID=11","")</f>
        <v/>
      </c>
      <c r="M103" s="4" t="str">
        <f>HYPERLINK("http://141.218.60.56/~jnz1568/getInfo.php?workbook=11_01.xlsx&amp;sheet=A0&amp;row=103&amp;col=13&amp;number=&amp;sourceID=11","")</f>
        <v/>
      </c>
      <c r="N103" s="4" t="str">
        <f>HYPERLINK("http://141.218.60.56/~jnz1568/getInfo.php?workbook=11_01.xlsx&amp;sheet=A0&amp;row=103&amp;col=14&amp;number=66127&amp;sourceID=12","66127")</f>
        <v>66127</v>
      </c>
      <c r="O103" s="4" t="str">
        <f>HYPERLINK("http://141.218.60.56/~jnz1568/getInfo.php?workbook=11_01.xlsx&amp;sheet=A0&amp;row=103&amp;col=15&amp;number=&amp;sourceID=12","")</f>
        <v/>
      </c>
      <c r="P103" s="4" t="str">
        <f>HYPERLINK("http://141.218.60.56/~jnz1568/getInfo.php?workbook=11_01.xlsx&amp;sheet=A0&amp;row=103&amp;col=16&amp;number=&amp;sourceID=12","")</f>
        <v/>
      </c>
      <c r="Q103" s="4" t="str">
        <f>HYPERLINK("http://141.218.60.56/~jnz1568/getInfo.php?workbook=11_01.xlsx&amp;sheet=A0&amp;row=103&amp;col=17&amp;number=66127&amp;sourceID=12","66127")</f>
        <v>66127</v>
      </c>
      <c r="R103" s="4" t="str">
        <f>HYPERLINK("http://141.218.60.56/~jnz1568/getInfo.php?workbook=11_01.xlsx&amp;sheet=A0&amp;row=103&amp;col=18&amp;number=&amp;sourceID=12","")</f>
        <v/>
      </c>
      <c r="S103" s="4" t="str">
        <f>HYPERLINK("http://141.218.60.56/~jnz1568/getInfo.php?workbook=11_01.xlsx&amp;sheet=A0&amp;row=103&amp;col=19&amp;number=&amp;sourceID=12","")</f>
        <v/>
      </c>
      <c r="T103" s="4" t="str">
        <f>HYPERLINK("http://141.218.60.56/~jnz1568/getInfo.php?workbook=11_01.xlsx&amp;sheet=A0&amp;row=103&amp;col=20&amp;number=&amp;sourceID=12","")</f>
        <v/>
      </c>
      <c r="U103" s="4" t="str">
        <f>HYPERLINK("http://141.218.60.56/~jnz1568/getInfo.php?workbook=11_01.xlsx&amp;sheet=A0&amp;row=103&amp;col=21&amp;number=&amp;sourceID=30","")</f>
        <v/>
      </c>
      <c r="V103" s="4" t="str">
        <f>HYPERLINK("http://141.218.60.56/~jnz1568/getInfo.php?workbook=11_01.xlsx&amp;sheet=A0&amp;row=103&amp;col=22&amp;number=&amp;sourceID=30","")</f>
        <v/>
      </c>
      <c r="W103" s="4" t="str">
        <f>HYPERLINK("http://141.218.60.56/~jnz1568/getInfo.php?workbook=11_01.xlsx&amp;sheet=A0&amp;row=103&amp;col=23&amp;number=&amp;sourceID=30","")</f>
        <v/>
      </c>
      <c r="X103" s="4" t="str">
        <f>HYPERLINK("http://141.218.60.56/~jnz1568/getInfo.php?workbook=11_01.xlsx&amp;sheet=A0&amp;row=103&amp;col=24&amp;number=&amp;sourceID=30","")</f>
        <v/>
      </c>
      <c r="Y103" s="4" t="str">
        <f>HYPERLINK("http://141.218.60.56/~jnz1568/getInfo.php?workbook=11_01.xlsx&amp;sheet=A0&amp;row=103&amp;col=25&amp;number=&amp;sourceID=30","")</f>
        <v/>
      </c>
      <c r="Z103" s="4" t="str">
        <f>HYPERLINK("http://141.218.60.56/~jnz1568/getInfo.php?workbook=11_01.xlsx&amp;sheet=A0&amp;row=103&amp;col=26&amp;number==SUM(AA103:AE103)&amp;sourceID=13","=SUM(AA103:AE103)")</f>
        <v>=SUM(AA103:AE103)</v>
      </c>
      <c r="AA103" s="4" t="str">
        <f>HYPERLINK("http://141.218.60.56/~jnz1568/getInfo.php?workbook=11_01.xlsx&amp;sheet=A0&amp;row=103&amp;col=27&amp;number=&amp;sourceID=13","")</f>
        <v/>
      </c>
      <c r="AB103" s="4" t="str">
        <f>HYPERLINK("http://141.218.60.56/~jnz1568/getInfo.php?workbook=11_01.xlsx&amp;sheet=A0&amp;row=103&amp;col=28&amp;number=&amp;sourceID=13","")</f>
        <v/>
      </c>
      <c r="AC103" s="4" t="str">
        <f>HYPERLINK("http://141.218.60.56/~jnz1568/getInfo.php?workbook=11_01.xlsx&amp;sheet=A0&amp;row=103&amp;col=29&amp;number=7530&amp;sourceID=13","7530")</f>
        <v>7530</v>
      </c>
      <c r="AD103" s="4" t="str">
        <f>HYPERLINK("http://141.218.60.56/~jnz1568/getInfo.php?workbook=11_01.xlsx&amp;sheet=A0&amp;row=103&amp;col=30&amp;number=&amp;sourceID=13","")</f>
        <v/>
      </c>
      <c r="AE103" s="4" t="str">
        <f>HYPERLINK("http://141.218.60.56/~jnz1568/getInfo.php?workbook=11_01.xlsx&amp;sheet=A0&amp;row=103&amp;col=31&amp;number=&amp;sourceID=13","")</f>
        <v/>
      </c>
    </row>
    <row r="104" spans="1:31">
      <c r="A104" s="3">
        <v>11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HYPERLINK("http://141.218.60.56/~jnz1568/getInfo.php?workbook=11_01.xlsx&amp;sheet=A0&amp;row=104&amp;col=6&amp;number=&amp;sourceID=18","")</f>
        <v/>
      </c>
      <c r="G104" s="4" t="str">
        <f>HYPERLINK("http://141.218.60.56/~jnz1568/getInfo.php?workbook=11_01.xlsx&amp;sheet=A0&amp;row=104&amp;col=7&amp;number==&amp;sourceID=11","=")</f>
        <v>=</v>
      </c>
      <c r="H104" s="4" t="str">
        <f>HYPERLINK("http://141.218.60.56/~jnz1568/getInfo.php?workbook=11_01.xlsx&amp;sheet=A0&amp;row=104&amp;col=8&amp;number=&amp;sourceID=11","")</f>
        <v/>
      </c>
      <c r="I104" s="4" t="str">
        <f>HYPERLINK("http://141.218.60.56/~jnz1568/getInfo.php?workbook=11_01.xlsx&amp;sheet=A0&amp;row=104&amp;col=9&amp;number=&amp;sourceID=11","")</f>
        <v/>
      </c>
      <c r="J104" s="4" t="str">
        <f>HYPERLINK("http://141.218.60.56/~jnz1568/getInfo.php?workbook=11_01.xlsx&amp;sheet=A0&amp;row=104&amp;col=10&amp;number=&amp;sourceID=11","")</f>
        <v/>
      </c>
      <c r="K104" s="4" t="str">
        <f>HYPERLINK("http://141.218.60.56/~jnz1568/getInfo.php?workbook=11_01.xlsx&amp;sheet=A0&amp;row=104&amp;col=11&amp;number=&amp;sourceID=11","")</f>
        <v/>
      </c>
      <c r="L104" s="4" t="str">
        <f>HYPERLINK("http://141.218.60.56/~jnz1568/getInfo.php?workbook=11_01.xlsx&amp;sheet=A0&amp;row=104&amp;col=12&amp;number=&amp;sourceID=11","")</f>
        <v/>
      </c>
      <c r="M104" s="4" t="str">
        <f>HYPERLINK("http://141.218.60.56/~jnz1568/getInfo.php?workbook=11_01.xlsx&amp;sheet=A0&amp;row=104&amp;col=13&amp;number=2.8664&amp;sourceID=11","2.8664")</f>
        <v>2.8664</v>
      </c>
      <c r="N104" s="4" t="str">
        <f>HYPERLINK("http://141.218.60.56/~jnz1568/getInfo.php?workbook=11_01.xlsx&amp;sheet=A0&amp;row=104&amp;col=14&amp;number=2.8665&amp;sourceID=12","2.8665")</f>
        <v>2.8665</v>
      </c>
      <c r="O104" s="4" t="str">
        <f>HYPERLINK("http://141.218.60.56/~jnz1568/getInfo.php?workbook=11_01.xlsx&amp;sheet=A0&amp;row=104&amp;col=15&amp;number=&amp;sourceID=12","")</f>
        <v/>
      </c>
      <c r="P104" s="4" t="str">
        <f>HYPERLINK("http://141.218.60.56/~jnz1568/getInfo.php?workbook=11_01.xlsx&amp;sheet=A0&amp;row=104&amp;col=16&amp;number=&amp;sourceID=12","")</f>
        <v/>
      </c>
      <c r="Q104" s="4" t="str">
        <f>HYPERLINK("http://141.218.60.56/~jnz1568/getInfo.php?workbook=11_01.xlsx&amp;sheet=A0&amp;row=104&amp;col=17&amp;number=&amp;sourceID=12","")</f>
        <v/>
      </c>
      <c r="R104" s="4" t="str">
        <f>HYPERLINK("http://141.218.60.56/~jnz1568/getInfo.php?workbook=11_01.xlsx&amp;sheet=A0&amp;row=104&amp;col=18&amp;number=&amp;sourceID=12","")</f>
        <v/>
      </c>
      <c r="S104" s="4" t="str">
        <f>HYPERLINK("http://141.218.60.56/~jnz1568/getInfo.php?workbook=11_01.xlsx&amp;sheet=A0&amp;row=104&amp;col=19&amp;number=&amp;sourceID=12","")</f>
        <v/>
      </c>
      <c r="T104" s="4" t="str">
        <f>HYPERLINK("http://141.218.60.56/~jnz1568/getInfo.php?workbook=11_01.xlsx&amp;sheet=A0&amp;row=104&amp;col=20&amp;number=2.8665&amp;sourceID=12","2.8665")</f>
        <v>2.8665</v>
      </c>
      <c r="U104" s="4" t="str">
        <f>HYPERLINK("http://141.218.60.56/~jnz1568/getInfo.php?workbook=11_01.xlsx&amp;sheet=A0&amp;row=104&amp;col=21&amp;number=&amp;sourceID=30","")</f>
        <v/>
      </c>
      <c r="V104" s="4" t="str">
        <f>HYPERLINK("http://141.218.60.56/~jnz1568/getInfo.php?workbook=11_01.xlsx&amp;sheet=A0&amp;row=104&amp;col=22&amp;number=&amp;sourceID=30","")</f>
        <v/>
      </c>
      <c r="W104" s="4" t="str">
        <f>HYPERLINK("http://141.218.60.56/~jnz1568/getInfo.php?workbook=11_01.xlsx&amp;sheet=A0&amp;row=104&amp;col=23&amp;number=&amp;sourceID=30","")</f>
        <v/>
      </c>
      <c r="X104" s="4" t="str">
        <f>HYPERLINK("http://141.218.60.56/~jnz1568/getInfo.php?workbook=11_01.xlsx&amp;sheet=A0&amp;row=104&amp;col=24&amp;number=&amp;sourceID=30","")</f>
        <v/>
      </c>
      <c r="Y104" s="4" t="str">
        <f>HYPERLINK("http://141.218.60.56/~jnz1568/getInfo.php?workbook=11_01.xlsx&amp;sheet=A0&amp;row=104&amp;col=25&amp;number=&amp;sourceID=30","")</f>
        <v/>
      </c>
      <c r="Z104" s="4" t="str">
        <f>HYPERLINK("http://141.218.60.56/~jnz1568/getInfo.php?workbook=11_01.xlsx&amp;sheet=A0&amp;row=104&amp;col=26&amp;number=&amp;sourceID=13","")</f>
        <v/>
      </c>
      <c r="AA104" s="4" t="str">
        <f>HYPERLINK("http://141.218.60.56/~jnz1568/getInfo.php?workbook=11_01.xlsx&amp;sheet=A0&amp;row=104&amp;col=27&amp;number=&amp;sourceID=13","")</f>
        <v/>
      </c>
      <c r="AB104" s="4" t="str">
        <f>HYPERLINK("http://141.218.60.56/~jnz1568/getInfo.php?workbook=11_01.xlsx&amp;sheet=A0&amp;row=104&amp;col=28&amp;number=&amp;sourceID=13","")</f>
        <v/>
      </c>
      <c r="AC104" s="4" t="str">
        <f>HYPERLINK("http://141.218.60.56/~jnz1568/getInfo.php?workbook=11_01.xlsx&amp;sheet=A0&amp;row=104&amp;col=29&amp;number=&amp;sourceID=13","")</f>
        <v/>
      </c>
      <c r="AD104" s="4" t="str">
        <f>HYPERLINK("http://141.218.60.56/~jnz1568/getInfo.php?workbook=11_01.xlsx&amp;sheet=A0&amp;row=104&amp;col=30&amp;number=&amp;sourceID=13","")</f>
        <v/>
      </c>
      <c r="AE104" s="4" t="str">
        <f>HYPERLINK("http://141.218.60.56/~jnz1568/getInfo.php?workbook=11_01.xlsx&amp;sheet=A0&amp;row=104&amp;col=31&amp;number=&amp;sourceID=13","")</f>
        <v/>
      </c>
    </row>
    <row r="105" spans="1:31">
      <c r="A105" s="3">
        <v>11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HYPERLINK("http://141.218.60.56/~jnz1568/getInfo.php?workbook=11_01.xlsx&amp;sheet=A0&amp;row=105&amp;col=6&amp;number=&amp;sourceID=18","")</f>
        <v/>
      </c>
      <c r="G105" s="4" t="str">
        <f>HYPERLINK("http://141.218.60.56/~jnz1568/getInfo.php?workbook=11_01.xlsx&amp;sheet=A0&amp;row=105&amp;col=7&amp;number==&amp;sourceID=11","=")</f>
        <v>=</v>
      </c>
      <c r="H105" s="4" t="str">
        <f>HYPERLINK("http://141.218.60.56/~jnz1568/getInfo.php?workbook=11_01.xlsx&amp;sheet=A0&amp;row=105&amp;col=8&amp;number=&amp;sourceID=11","")</f>
        <v/>
      </c>
      <c r="I105" s="4" t="str">
        <f>HYPERLINK("http://141.218.60.56/~jnz1568/getInfo.php?workbook=11_01.xlsx&amp;sheet=A0&amp;row=105&amp;col=9&amp;number=&amp;sourceID=11","")</f>
        <v/>
      </c>
      <c r="J105" s="4" t="str">
        <f>HYPERLINK("http://141.218.60.56/~jnz1568/getInfo.php?workbook=11_01.xlsx&amp;sheet=A0&amp;row=105&amp;col=10&amp;number=26340&amp;sourceID=11","26340")</f>
        <v>26340</v>
      </c>
      <c r="K105" s="4" t="str">
        <f>HYPERLINK("http://141.218.60.56/~jnz1568/getInfo.php?workbook=11_01.xlsx&amp;sheet=A0&amp;row=105&amp;col=11&amp;number=&amp;sourceID=11","")</f>
        <v/>
      </c>
      <c r="L105" s="4" t="str">
        <f>HYPERLINK("http://141.218.60.56/~jnz1568/getInfo.php?workbook=11_01.xlsx&amp;sheet=A0&amp;row=105&amp;col=12&amp;number=&amp;sourceID=11","")</f>
        <v/>
      </c>
      <c r="M105" s="4" t="str">
        <f>HYPERLINK("http://141.218.60.56/~jnz1568/getInfo.php?workbook=11_01.xlsx&amp;sheet=A0&amp;row=105&amp;col=13&amp;number=&amp;sourceID=11","")</f>
        <v/>
      </c>
      <c r="N105" s="4" t="str">
        <f>HYPERLINK("http://141.218.60.56/~jnz1568/getInfo.php?workbook=11_01.xlsx&amp;sheet=A0&amp;row=105&amp;col=14&amp;number=26341&amp;sourceID=12","26341")</f>
        <v>26341</v>
      </c>
      <c r="O105" s="4" t="str">
        <f>HYPERLINK("http://141.218.60.56/~jnz1568/getInfo.php?workbook=11_01.xlsx&amp;sheet=A0&amp;row=105&amp;col=15&amp;number=&amp;sourceID=12","")</f>
        <v/>
      </c>
      <c r="P105" s="4" t="str">
        <f>HYPERLINK("http://141.218.60.56/~jnz1568/getInfo.php?workbook=11_01.xlsx&amp;sheet=A0&amp;row=105&amp;col=16&amp;number=&amp;sourceID=12","")</f>
        <v/>
      </c>
      <c r="Q105" s="4" t="str">
        <f>HYPERLINK("http://141.218.60.56/~jnz1568/getInfo.php?workbook=11_01.xlsx&amp;sheet=A0&amp;row=105&amp;col=17&amp;number=26341&amp;sourceID=12","26341")</f>
        <v>26341</v>
      </c>
      <c r="R105" s="4" t="str">
        <f>HYPERLINK("http://141.218.60.56/~jnz1568/getInfo.php?workbook=11_01.xlsx&amp;sheet=A0&amp;row=105&amp;col=18&amp;number=&amp;sourceID=12","")</f>
        <v/>
      </c>
      <c r="S105" s="4" t="str">
        <f>HYPERLINK("http://141.218.60.56/~jnz1568/getInfo.php?workbook=11_01.xlsx&amp;sheet=A0&amp;row=105&amp;col=19&amp;number=&amp;sourceID=12","")</f>
        <v/>
      </c>
      <c r="T105" s="4" t="str">
        <f>HYPERLINK("http://141.218.60.56/~jnz1568/getInfo.php?workbook=11_01.xlsx&amp;sheet=A0&amp;row=105&amp;col=20&amp;number=&amp;sourceID=12","")</f>
        <v/>
      </c>
      <c r="U105" s="4" t="str">
        <f>HYPERLINK("http://141.218.60.56/~jnz1568/getInfo.php?workbook=11_01.xlsx&amp;sheet=A0&amp;row=105&amp;col=21&amp;number=&amp;sourceID=30","")</f>
        <v/>
      </c>
      <c r="V105" s="4" t="str">
        <f>HYPERLINK("http://141.218.60.56/~jnz1568/getInfo.php?workbook=11_01.xlsx&amp;sheet=A0&amp;row=105&amp;col=22&amp;number=&amp;sourceID=30","")</f>
        <v/>
      </c>
      <c r="W105" s="4" t="str">
        <f>HYPERLINK("http://141.218.60.56/~jnz1568/getInfo.php?workbook=11_01.xlsx&amp;sheet=A0&amp;row=105&amp;col=23&amp;number=&amp;sourceID=30","")</f>
        <v/>
      </c>
      <c r="X105" s="4" t="str">
        <f>HYPERLINK("http://141.218.60.56/~jnz1568/getInfo.php?workbook=11_01.xlsx&amp;sheet=A0&amp;row=105&amp;col=24&amp;number=&amp;sourceID=30","")</f>
        <v/>
      </c>
      <c r="Y105" s="4" t="str">
        <f>HYPERLINK("http://141.218.60.56/~jnz1568/getInfo.php?workbook=11_01.xlsx&amp;sheet=A0&amp;row=105&amp;col=25&amp;number=&amp;sourceID=30","")</f>
        <v/>
      </c>
      <c r="Z105" s="4" t="str">
        <f>HYPERLINK("http://141.218.60.56/~jnz1568/getInfo.php?workbook=11_01.xlsx&amp;sheet=A0&amp;row=105&amp;col=26&amp;number==SUM(AA105:AE105)&amp;sourceID=13","=SUM(AA105:AE105)")</f>
        <v>=SUM(AA105:AE105)</v>
      </c>
      <c r="AA105" s="4" t="str">
        <f>HYPERLINK("http://141.218.60.56/~jnz1568/getInfo.php?workbook=11_01.xlsx&amp;sheet=A0&amp;row=105&amp;col=27&amp;number=&amp;sourceID=13","")</f>
        <v/>
      </c>
      <c r="AB105" s="4" t="str">
        <f>HYPERLINK("http://141.218.60.56/~jnz1568/getInfo.php?workbook=11_01.xlsx&amp;sheet=A0&amp;row=105&amp;col=28&amp;number=&amp;sourceID=13","")</f>
        <v/>
      </c>
      <c r="AC105" s="4" t="str">
        <f>HYPERLINK("http://141.218.60.56/~jnz1568/getInfo.php?workbook=11_01.xlsx&amp;sheet=A0&amp;row=105&amp;col=29&amp;number=26800&amp;sourceID=13","26800")</f>
        <v>26800</v>
      </c>
      <c r="AD105" s="4" t="str">
        <f>HYPERLINK("http://141.218.60.56/~jnz1568/getInfo.php?workbook=11_01.xlsx&amp;sheet=A0&amp;row=105&amp;col=30&amp;number=&amp;sourceID=13","")</f>
        <v/>
      </c>
      <c r="AE105" s="4" t="str">
        <f>HYPERLINK("http://141.218.60.56/~jnz1568/getInfo.php?workbook=11_01.xlsx&amp;sheet=A0&amp;row=105&amp;col=31&amp;number=&amp;sourceID=13","")</f>
        <v/>
      </c>
    </row>
    <row r="106" spans="1:31">
      <c r="A106" s="3">
        <v>11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HYPERLINK("http://141.218.60.56/~jnz1568/getInfo.php?workbook=11_01.xlsx&amp;sheet=A0&amp;row=106&amp;col=6&amp;number=&amp;sourceID=18","")</f>
        <v/>
      </c>
      <c r="G106" s="4" t="str">
        <f>HYPERLINK("http://141.218.60.56/~jnz1568/getInfo.php?workbook=11_01.xlsx&amp;sheet=A0&amp;row=106&amp;col=7&amp;number==&amp;sourceID=11","=")</f>
        <v>=</v>
      </c>
      <c r="H106" s="4" t="str">
        <f>HYPERLINK("http://141.218.60.56/~jnz1568/getInfo.php?workbook=11_01.xlsx&amp;sheet=A0&amp;row=106&amp;col=8&amp;number=&amp;sourceID=11","")</f>
        <v/>
      </c>
      <c r="I106" s="4" t="str">
        <f>HYPERLINK("http://141.218.60.56/~jnz1568/getInfo.php?workbook=11_01.xlsx&amp;sheet=A0&amp;row=106&amp;col=9&amp;number=109350000&amp;sourceID=11","109350000")</f>
        <v>109350000</v>
      </c>
      <c r="J106" s="4" t="str">
        <f>HYPERLINK("http://141.218.60.56/~jnz1568/getInfo.php?workbook=11_01.xlsx&amp;sheet=A0&amp;row=106&amp;col=10&amp;number=&amp;sourceID=11","")</f>
        <v/>
      </c>
      <c r="K106" s="4" t="str">
        <f>HYPERLINK("http://141.218.60.56/~jnz1568/getInfo.php?workbook=11_01.xlsx&amp;sheet=A0&amp;row=106&amp;col=11&amp;number=&amp;sourceID=11","")</f>
        <v/>
      </c>
      <c r="L106" s="4" t="str">
        <f>HYPERLINK("http://141.218.60.56/~jnz1568/getInfo.php?workbook=11_01.xlsx&amp;sheet=A0&amp;row=106&amp;col=12&amp;number=&amp;sourceID=11","")</f>
        <v/>
      </c>
      <c r="M106" s="4" t="str">
        <f>HYPERLINK("http://141.218.60.56/~jnz1568/getInfo.php?workbook=11_01.xlsx&amp;sheet=A0&amp;row=106&amp;col=13&amp;number=8.5586&amp;sourceID=11","8.5586")</f>
        <v>8.5586</v>
      </c>
      <c r="N106" s="4" t="str">
        <f>HYPERLINK("http://141.218.60.56/~jnz1568/getInfo.php?workbook=11_01.xlsx&amp;sheet=A0&amp;row=106&amp;col=14&amp;number=109350000&amp;sourceID=12","109350000")</f>
        <v>109350000</v>
      </c>
      <c r="O106" s="4" t="str">
        <f>HYPERLINK("http://141.218.60.56/~jnz1568/getInfo.php?workbook=11_01.xlsx&amp;sheet=A0&amp;row=106&amp;col=15&amp;number=&amp;sourceID=12","")</f>
        <v/>
      </c>
      <c r="P106" s="4" t="str">
        <f>HYPERLINK("http://141.218.60.56/~jnz1568/getInfo.php?workbook=11_01.xlsx&amp;sheet=A0&amp;row=106&amp;col=16&amp;number=109350000&amp;sourceID=12","109350000")</f>
        <v>109350000</v>
      </c>
      <c r="Q106" s="4" t="str">
        <f>HYPERLINK("http://141.218.60.56/~jnz1568/getInfo.php?workbook=11_01.xlsx&amp;sheet=A0&amp;row=106&amp;col=17&amp;number=&amp;sourceID=12","")</f>
        <v/>
      </c>
      <c r="R106" s="4" t="str">
        <f>HYPERLINK("http://141.218.60.56/~jnz1568/getInfo.php?workbook=11_01.xlsx&amp;sheet=A0&amp;row=106&amp;col=18&amp;number=&amp;sourceID=12","")</f>
        <v/>
      </c>
      <c r="S106" s="4" t="str">
        <f>HYPERLINK("http://141.218.60.56/~jnz1568/getInfo.php?workbook=11_01.xlsx&amp;sheet=A0&amp;row=106&amp;col=19&amp;number=&amp;sourceID=12","")</f>
        <v/>
      </c>
      <c r="T106" s="4" t="str">
        <f>HYPERLINK("http://141.218.60.56/~jnz1568/getInfo.php?workbook=11_01.xlsx&amp;sheet=A0&amp;row=106&amp;col=20&amp;number=8.5588&amp;sourceID=12","8.5588")</f>
        <v>8.5588</v>
      </c>
      <c r="U106" s="4" t="str">
        <f>HYPERLINK("http://141.218.60.56/~jnz1568/getInfo.php?workbook=11_01.xlsx&amp;sheet=A0&amp;row=106&amp;col=21&amp;number=109400000&amp;sourceID=30","109400000")</f>
        <v>109400000</v>
      </c>
      <c r="V106" s="4" t="str">
        <f>HYPERLINK("http://141.218.60.56/~jnz1568/getInfo.php?workbook=11_01.xlsx&amp;sheet=A0&amp;row=106&amp;col=22&amp;number=&amp;sourceID=30","")</f>
        <v/>
      </c>
      <c r="W106" s="4" t="str">
        <f>HYPERLINK("http://141.218.60.56/~jnz1568/getInfo.php?workbook=11_01.xlsx&amp;sheet=A0&amp;row=106&amp;col=23&amp;number=109400000&amp;sourceID=30","109400000")</f>
        <v>109400000</v>
      </c>
      <c r="X106" s="4" t="str">
        <f>HYPERLINK("http://141.218.60.56/~jnz1568/getInfo.php?workbook=11_01.xlsx&amp;sheet=A0&amp;row=106&amp;col=24&amp;number=&amp;sourceID=30","")</f>
        <v/>
      </c>
      <c r="Y106" s="4" t="str">
        <f>HYPERLINK("http://141.218.60.56/~jnz1568/getInfo.php?workbook=11_01.xlsx&amp;sheet=A0&amp;row=106&amp;col=25&amp;number=&amp;sourceID=30","")</f>
        <v/>
      </c>
      <c r="Z106" s="4" t="str">
        <f>HYPERLINK("http://141.218.60.56/~jnz1568/getInfo.php?workbook=11_01.xlsx&amp;sheet=A0&amp;row=106&amp;col=26&amp;number==SUM(AA106:AE106)&amp;sourceID=13","=SUM(AA106:AE106)")</f>
        <v>=SUM(AA106:AE106)</v>
      </c>
      <c r="AA106" s="4" t="str">
        <f>HYPERLINK("http://141.218.60.56/~jnz1568/getInfo.php?workbook=11_01.xlsx&amp;sheet=A0&amp;row=106&amp;col=27&amp;number=&amp;sourceID=13","")</f>
        <v/>
      </c>
      <c r="AB106" s="4" t="str">
        <f>HYPERLINK("http://141.218.60.56/~jnz1568/getInfo.php?workbook=11_01.xlsx&amp;sheet=A0&amp;row=106&amp;col=28&amp;number=110000000&amp;sourceID=13","110000000")</f>
        <v>110000000</v>
      </c>
      <c r="AC106" s="4" t="str">
        <f>HYPERLINK("http://141.218.60.56/~jnz1568/getInfo.php?workbook=11_01.xlsx&amp;sheet=A0&amp;row=106&amp;col=29&amp;number=&amp;sourceID=13","")</f>
        <v/>
      </c>
      <c r="AD106" s="4" t="str">
        <f>HYPERLINK("http://141.218.60.56/~jnz1568/getInfo.php?workbook=11_01.xlsx&amp;sheet=A0&amp;row=106&amp;col=30&amp;number=&amp;sourceID=13","")</f>
        <v/>
      </c>
      <c r="AE106" s="4" t="str">
        <f>HYPERLINK("http://141.218.60.56/~jnz1568/getInfo.php?workbook=11_01.xlsx&amp;sheet=A0&amp;row=106&amp;col=31&amp;number=&amp;sourceID=13","")</f>
        <v/>
      </c>
    </row>
    <row r="107" spans="1:31">
      <c r="A107" s="3">
        <v>11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HYPERLINK("http://141.218.60.56/~jnz1568/getInfo.php?workbook=11_01.xlsx&amp;sheet=A0&amp;row=107&amp;col=6&amp;number=&amp;sourceID=18","")</f>
        <v/>
      </c>
      <c r="G107" s="4" t="str">
        <f>HYPERLINK("http://141.218.60.56/~jnz1568/getInfo.php?workbook=11_01.xlsx&amp;sheet=A0&amp;row=107&amp;col=7&amp;number==&amp;sourceID=11","=")</f>
        <v>=</v>
      </c>
      <c r="H107" s="4" t="str">
        <f>HYPERLINK("http://141.218.60.56/~jnz1568/getInfo.php?workbook=11_01.xlsx&amp;sheet=A0&amp;row=107&amp;col=8&amp;number=&amp;sourceID=11","")</f>
        <v/>
      </c>
      <c r="I107" s="4" t="str">
        <f>HYPERLINK("http://141.218.60.56/~jnz1568/getInfo.php?workbook=11_01.xlsx&amp;sheet=A0&amp;row=107&amp;col=9&amp;number=&amp;sourceID=11","")</f>
        <v/>
      </c>
      <c r="J107" s="4" t="str">
        <f>HYPERLINK("http://141.218.60.56/~jnz1568/getInfo.php?workbook=11_01.xlsx&amp;sheet=A0&amp;row=107&amp;col=10&amp;number=&amp;sourceID=11","")</f>
        <v/>
      </c>
      <c r="K107" s="4" t="str">
        <f>HYPERLINK("http://141.218.60.56/~jnz1568/getInfo.php?workbook=11_01.xlsx&amp;sheet=A0&amp;row=107&amp;col=11&amp;number=&amp;sourceID=11","")</f>
        <v/>
      </c>
      <c r="L107" s="4" t="str">
        <f>HYPERLINK("http://141.218.60.56/~jnz1568/getInfo.php?workbook=11_01.xlsx&amp;sheet=A0&amp;row=107&amp;col=12&amp;number=&amp;sourceID=11","")</f>
        <v/>
      </c>
      <c r="M107" s="4" t="str">
        <f>HYPERLINK("http://141.218.60.56/~jnz1568/getInfo.php?workbook=11_01.xlsx&amp;sheet=A0&amp;row=107&amp;col=13&amp;number=0.018287&amp;sourceID=11","0.018287")</f>
        <v>0.018287</v>
      </c>
      <c r="N107" s="4" t="str">
        <f>HYPERLINK("http://141.218.60.56/~jnz1568/getInfo.php?workbook=11_01.xlsx&amp;sheet=A0&amp;row=107&amp;col=14&amp;number=0.018287&amp;sourceID=12","0.018287")</f>
        <v>0.018287</v>
      </c>
      <c r="O107" s="4" t="str">
        <f>HYPERLINK("http://141.218.60.56/~jnz1568/getInfo.php?workbook=11_01.xlsx&amp;sheet=A0&amp;row=107&amp;col=15&amp;number=&amp;sourceID=12","")</f>
        <v/>
      </c>
      <c r="P107" s="4" t="str">
        <f>HYPERLINK("http://141.218.60.56/~jnz1568/getInfo.php?workbook=11_01.xlsx&amp;sheet=A0&amp;row=107&amp;col=16&amp;number=&amp;sourceID=12","")</f>
        <v/>
      </c>
      <c r="Q107" s="4" t="str">
        <f>HYPERLINK("http://141.218.60.56/~jnz1568/getInfo.php?workbook=11_01.xlsx&amp;sheet=A0&amp;row=107&amp;col=17&amp;number=&amp;sourceID=12","")</f>
        <v/>
      </c>
      <c r="R107" s="4" t="str">
        <f>HYPERLINK("http://141.218.60.56/~jnz1568/getInfo.php?workbook=11_01.xlsx&amp;sheet=A0&amp;row=107&amp;col=18&amp;number=&amp;sourceID=12","")</f>
        <v/>
      </c>
      <c r="S107" s="4" t="str">
        <f>HYPERLINK("http://141.218.60.56/~jnz1568/getInfo.php?workbook=11_01.xlsx&amp;sheet=A0&amp;row=107&amp;col=19&amp;number=&amp;sourceID=12","")</f>
        <v/>
      </c>
      <c r="T107" s="4" t="str">
        <f>HYPERLINK("http://141.218.60.56/~jnz1568/getInfo.php?workbook=11_01.xlsx&amp;sheet=A0&amp;row=107&amp;col=20&amp;number=0.018287&amp;sourceID=12","0.018287")</f>
        <v>0.018287</v>
      </c>
      <c r="U107" s="4" t="str">
        <f>HYPERLINK("http://141.218.60.56/~jnz1568/getInfo.php?workbook=11_01.xlsx&amp;sheet=A0&amp;row=107&amp;col=21&amp;number=&amp;sourceID=30","")</f>
        <v/>
      </c>
      <c r="V107" s="4" t="str">
        <f>HYPERLINK("http://141.218.60.56/~jnz1568/getInfo.php?workbook=11_01.xlsx&amp;sheet=A0&amp;row=107&amp;col=22&amp;number=&amp;sourceID=30","")</f>
        <v/>
      </c>
      <c r="W107" s="4" t="str">
        <f>HYPERLINK("http://141.218.60.56/~jnz1568/getInfo.php?workbook=11_01.xlsx&amp;sheet=A0&amp;row=107&amp;col=23&amp;number=&amp;sourceID=30","")</f>
        <v/>
      </c>
      <c r="X107" s="4" t="str">
        <f>HYPERLINK("http://141.218.60.56/~jnz1568/getInfo.php?workbook=11_01.xlsx&amp;sheet=A0&amp;row=107&amp;col=24&amp;number=&amp;sourceID=30","")</f>
        <v/>
      </c>
      <c r="Y107" s="4" t="str">
        <f>HYPERLINK("http://141.218.60.56/~jnz1568/getInfo.php?workbook=11_01.xlsx&amp;sheet=A0&amp;row=107&amp;col=25&amp;number=&amp;sourceID=30","")</f>
        <v/>
      </c>
      <c r="Z107" s="4" t="str">
        <f>HYPERLINK("http://141.218.60.56/~jnz1568/getInfo.php?workbook=11_01.xlsx&amp;sheet=A0&amp;row=107&amp;col=26&amp;number=&amp;sourceID=13","")</f>
        <v/>
      </c>
      <c r="AA107" s="4" t="str">
        <f>HYPERLINK("http://141.218.60.56/~jnz1568/getInfo.php?workbook=11_01.xlsx&amp;sheet=A0&amp;row=107&amp;col=27&amp;number=&amp;sourceID=13","")</f>
        <v/>
      </c>
      <c r="AB107" s="4" t="str">
        <f>HYPERLINK("http://141.218.60.56/~jnz1568/getInfo.php?workbook=11_01.xlsx&amp;sheet=A0&amp;row=107&amp;col=28&amp;number=&amp;sourceID=13","")</f>
        <v/>
      </c>
      <c r="AC107" s="4" t="str">
        <f>HYPERLINK("http://141.218.60.56/~jnz1568/getInfo.php?workbook=11_01.xlsx&amp;sheet=A0&amp;row=107&amp;col=29&amp;number=&amp;sourceID=13","")</f>
        <v/>
      </c>
      <c r="AD107" s="4" t="str">
        <f>HYPERLINK("http://141.218.60.56/~jnz1568/getInfo.php?workbook=11_01.xlsx&amp;sheet=A0&amp;row=107&amp;col=30&amp;number=&amp;sourceID=13","")</f>
        <v/>
      </c>
      <c r="AE107" s="4" t="str">
        <f>HYPERLINK("http://141.218.60.56/~jnz1568/getInfo.php?workbook=11_01.xlsx&amp;sheet=A0&amp;row=107&amp;col=31&amp;number=&amp;sourceID=13","")</f>
        <v/>
      </c>
    </row>
    <row r="108" spans="1:31">
      <c r="A108" s="3">
        <v>11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HYPERLINK("http://141.218.60.56/~jnz1568/getInfo.php?workbook=11_01.xlsx&amp;sheet=A0&amp;row=108&amp;col=6&amp;number=&amp;sourceID=18","")</f>
        <v/>
      </c>
      <c r="G108" s="4" t="str">
        <f>HYPERLINK("http://141.218.60.56/~jnz1568/getInfo.php?workbook=11_01.xlsx&amp;sheet=A0&amp;row=108&amp;col=7&amp;number==&amp;sourceID=11","=")</f>
        <v>=</v>
      </c>
      <c r="H108" s="4" t="str">
        <f>HYPERLINK("http://141.218.60.56/~jnz1568/getInfo.php?workbook=11_01.xlsx&amp;sheet=A0&amp;row=108&amp;col=8&amp;number=&amp;sourceID=11","")</f>
        <v/>
      </c>
      <c r="I108" s="4" t="str">
        <f>HYPERLINK("http://141.218.60.56/~jnz1568/getInfo.php?workbook=11_01.xlsx&amp;sheet=A0&amp;row=108&amp;col=9&amp;number=&amp;sourceID=11","")</f>
        <v/>
      </c>
      <c r="J108" s="4" t="str">
        <f>HYPERLINK("http://141.218.60.56/~jnz1568/getInfo.php?workbook=11_01.xlsx&amp;sheet=A0&amp;row=108&amp;col=10&amp;number=243.86&amp;sourceID=11","243.86")</f>
        <v>243.86</v>
      </c>
      <c r="K108" s="4" t="str">
        <f>HYPERLINK("http://141.218.60.56/~jnz1568/getInfo.php?workbook=11_01.xlsx&amp;sheet=A0&amp;row=108&amp;col=11&amp;number=&amp;sourceID=11","")</f>
        <v/>
      </c>
      <c r="L108" s="4" t="str">
        <f>HYPERLINK("http://141.218.60.56/~jnz1568/getInfo.php?workbook=11_01.xlsx&amp;sheet=A0&amp;row=108&amp;col=12&amp;number=&amp;sourceID=11","")</f>
        <v/>
      </c>
      <c r="M108" s="4" t="str">
        <f>HYPERLINK("http://141.218.60.56/~jnz1568/getInfo.php?workbook=11_01.xlsx&amp;sheet=A0&amp;row=108&amp;col=13&amp;number=&amp;sourceID=11","")</f>
        <v/>
      </c>
      <c r="N108" s="4" t="str">
        <f>HYPERLINK("http://141.218.60.56/~jnz1568/getInfo.php?workbook=11_01.xlsx&amp;sheet=A0&amp;row=108&amp;col=14&amp;number=243.86&amp;sourceID=12","243.86")</f>
        <v>243.86</v>
      </c>
      <c r="O108" s="4" t="str">
        <f>HYPERLINK("http://141.218.60.56/~jnz1568/getInfo.php?workbook=11_01.xlsx&amp;sheet=A0&amp;row=108&amp;col=15&amp;number=&amp;sourceID=12","")</f>
        <v/>
      </c>
      <c r="P108" s="4" t="str">
        <f>HYPERLINK("http://141.218.60.56/~jnz1568/getInfo.php?workbook=11_01.xlsx&amp;sheet=A0&amp;row=108&amp;col=16&amp;number=&amp;sourceID=12","")</f>
        <v/>
      </c>
      <c r="Q108" s="4" t="str">
        <f>HYPERLINK("http://141.218.60.56/~jnz1568/getInfo.php?workbook=11_01.xlsx&amp;sheet=A0&amp;row=108&amp;col=17&amp;number=243.86&amp;sourceID=12","243.86")</f>
        <v>243.86</v>
      </c>
      <c r="R108" s="4" t="str">
        <f>HYPERLINK("http://141.218.60.56/~jnz1568/getInfo.php?workbook=11_01.xlsx&amp;sheet=A0&amp;row=108&amp;col=18&amp;number=&amp;sourceID=12","")</f>
        <v/>
      </c>
      <c r="S108" s="4" t="str">
        <f>HYPERLINK("http://141.218.60.56/~jnz1568/getInfo.php?workbook=11_01.xlsx&amp;sheet=A0&amp;row=108&amp;col=19&amp;number=&amp;sourceID=12","")</f>
        <v/>
      </c>
      <c r="T108" s="4" t="str">
        <f>HYPERLINK("http://141.218.60.56/~jnz1568/getInfo.php?workbook=11_01.xlsx&amp;sheet=A0&amp;row=108&amp;col=20&amp;number=&amp;sourceID=12","")</f>
        <v/>
      </c>
      <c r="U108" s="4" t="str">
        <f>HYPERLINK("http://141.218.60.56/~jnz1568/getInfo.php?workbook=11_01.xlsx&amp;sheet=A0&amp;row=108&amp;col=21&amp;number=&amp;sourceID=30","")</f>
        <v/>
      </c>
      <c r="V108" s="4" t="str">
        <f>HYPERLINK("http://141.218.60.56/~jnz1568/getInfo.php?workbook=11_01.xlsx&amp;sheet=A0&amp;row=108&amp;col=22&amp;number=&amp;sourceID=30","")</f>
        <v/>
      </c>
      <c r="W108" s="4" t="str">
        <f>HYPERLINK("http://141.218.60.56/~jnz1568/getInfo.php?workbook=11_01.xlsx&amp;sheet=A0&amp;row=108&amp;col=23&amp;number=&amp;sourceID=30","")</f>
        <v/>
      </c>
      <c r="X108" s="4" t="str">
        <f>HYPERLINK("http://141.218.60.56/~jnz1568/getInfo.php?workbook=11_01.xlsx&amp;sheet=A0&amp;row=108&amp;col=24&amp;number=&amp;sourceID=30","")</f>
        <v/>
      </c>
      <c r="Y108" s="4" t="str">
        <f>HYPERLINK("http://141.218.60.56/~jnz1568/getInfo.php?workbook=11_01.xlsx&amp;sheet=A0&amp;row=108&amp;col=25&amp;number=&amp;sourceID=30","")</f>
        <v/>
      </c>
      <c r="Z108" s="4" t="str">
        <f>HYPERLINK("http://141.218.60.56/~jnz1568/getInfo.php?workbook=11_01.xlsx&amp;sheet=A0&amp;row=108&amp;col=26&amp;number==SUM(AA108:AE108)&amp;sourceID=13","=SUM(AA108:AE108)")</f>
        <v>=SUM(AA108:AE108)</v>
      </c>
      <c r="AA108" s="4" t="str">
        <f>HYPERLINK("http://141.218.60.56/~jnz1568/getInfo.php?workbook=11_01.xlsx&amp;sheet=A0&amp;row=108&amp;col=27&amp;number=&amp;sourceID=13","")</f>
        <v/>
      </c>
      <c r="AB108" s="4" t="str">
        <f>HYPERLINK("http://141.218.60.56/~jnz1568/getInfo.php?workbook=11_01.xlsx&amp;sheet=A0&amp;row=108&amp;col=28&amp;number=&amp;sourceID=13","")</f>
        <v/>
      </c>
      <c r="AC108" s="4" t="str">
        <f>HYPERLINK("http://141.218.60.56/~jnz1568/getInfo.php?workbook=11_01.xlsx&amp;sheet=A0&amp;row=108&amp;col=29&amp;number=243&amp;sourceID=13","243")</f>
        <v>243</v>
      </c>
      <c r="AD108" s="4" t="str">
        <f>HYPERLINK("http://141.218.60.56/~jnz1568/getInfo.php?workbook=11_01.xlsx&amp;sheet=A0&amp;row=108&amp;col=30&amp;number=&amp;sourceID=13","")</f>
        <v/>
      </c>
      <c r="AE108" s="4" t="str">
        <f>HYPERLINK("http://141.218.60.56/~jnz1568/getInfo.php?workbook=11_01.xlsx&amp;sheet=A0&amp;row=108&amp;col=31&amp;number=&amp;sourceID=13","")</f>
        <v/>
      </c>
    </row>
    <row r="109" spans="1:31">
      <c r="A109" s="3">
        <v>11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HYPERLINK("http://141.218.60.56/~jnz1568/getInfo.php?workbook=11_01.xlsx&amp;sheet=A0&amp;row=109&amp;col=6&amp;number=&amp;sourceID=18","")</f>
        <v/>
      </c>
      <c r="G109" s="4" t="str">
        <f>HYPERLINK("http://141.218.60.56/~jnz1568/getInfo.php?workbook=11_01.xlsx&amp;sheet=A0&amp;row=109&amp;col=7&amp;number==&amp;sourceID=11","=")</f>
        <v>=</v>
      </c>
      <c r="H109" s="4" t="str">
        <f>HYPERLINK("http://141.218.60.56/~jnz1568/getInfo.php?workbook=11_01.xlsx&amp;sheet=A0&amp;row=109&amp;col=8&amp;number=&amp;sourceID=11","")</f>
        <v/>
      </c>
      <c r="I109" s="4" t="str">
        <f>HYPERLINK("http://141.218.60.56/~jnz1568/getInfo.php?workbook=11_01.xlsx&amp;sheet=A0&amp;row=109&amp;col=9&amp;number=&amp;sourceID=11","")</f>
        <v/>
      </c>
      <c r="J109" s="4" t="str">
        <f>HYPERLINK("http://141.218.60.56/~jnz1568/getInfo.php?workbook=11_01.xlsx&amp;sheet=A0&amp;row=109&amp;col=10&amp;number=28.989&amp;sourceID=11","28.989")</f>
        <v>28.989</v>
      </c>
      <c r="K109" s="4" t="str">
        <f>HYPERLINK("http://141.218.60.56/~jnz1568/getInfo.php?workbook=11_01.xlsx&amp;sheet=A0&amp;row=109&amp;col=11&amp;number=&amp;sourceID=11","")</f>
        <v/>
      </c>
      <c r="L109" s="4" t="str">
        <f>HYPERLINK("http://141.218.60.56/~jnz1568/getInfo.php?workbook=11_01.xlsx&amp;sheet=A0&amp;row=109&amp;col=12&amp;number=264.97&amp;sourceID=11","264.97")</f>
        <v>264.97</v>
      </c>
      <c r="M109" s="4" t="str">
        <f>HYPERLINK("http://141.218.60.56/~jnz1568/getInfo.php?workbook=11_01.xlsx&amp;sheet=A0&amp;row=109&amp;col=13&amp;number=&amp;sourceID=11","")</f>
        <v/>
      </c>
      <c r="N109" s="4" t="str">
        <f>HYPERLINK("http://141.218.60.56/~jnz1568/getInfo.php?workbook=11_01.xlsx&amp;sheet=A0&amp;row=109&amp;col=14&amp;number=293.97&amp;sourceID=12","293.97")</f>
        <v>293.97</v>
      </c>
      <c r="O109" s="4" t="str">
        <f>HYPERLINK("http://141.218.60.56/~jnz1568/getInfo.php?workbook=11_01.xlsx&amp;sheet=A0&amp;row=109&amp;col=15&amp;number=&amp;sourceID=12","")</f>
        <v/>
      </c>
      <c r="P109" s="4" t="str">
        <f>HYPERLINK("http://141.218.60.56/~jnz1568/getInfo.php?workbook=11_01.xlsx&amp;sheet=A0&amp;row=109&amp;col=16&amp;number=&amp;sourceID=12","")</f>
        <v/>
      </c>
      <c r="Q109" s="4" t="str">
        <f>HYPERLINK("http://141.218.60.56/~jnz1568/getInfo.php?workbook=11_01.xlsx&amp;sheet=A0&amp;row=109&amp;col=17&amp;number=28.989&amp;sourceID=12","28.989")</f>
        <v>28.989</v>
      </c>
      <c r="R109" s="4" t="str">
        <f>HYPERLINK("http://141.218.60.56/~jnz1568/getInfo.php?workbook=11_01.xlsx&amp;sheet=A0&amp;row=109&amp;col=18&amp;number=&amp;sourceID=12","")</f>
        <v/>
      </c>
      <c r="S109" s="4" t="str">
        <f>HYPERLINK("http://141.218.60.56/~jnz1568/getInfo.php?workbook=11_01.xlsx&amp;sheet=A0&amp;row=109&amp;col=19&amp;number=264.98&amp;sourceID=12","264.98")</f>
        <v>264.98</v>
      </c>
      <c r="T109" s="4" t="str">
        <f>HYPERLINK("http://141.218.60.56/~jnz1568/getInfo.php?workbook=11_01.xlsx&amp;sheet=A0&amp;row=109&amp;col=20&amp;number=&amp;sourceID=12","")</f>
        <v/>
      </c>
      <c r="U109" s="4" t="str">
        <f>HYPERLINK("http://141.218.60.56/~jnz1568/getInfo.php?workbook=11_01.xlsx&amp;sheet=A0&amp;row=109&amp;col=21&amp;number=265&amp;sourceID=30","265")</f>
        <v>265</v>
      </c>
      <c r="V109" s="4" t="str">
        <f>HYPERLINK("http://141.218.60.56/~jnz1568/getInfo.php?workbook=11_01.xlsx&amp;sheet=A0&amp;row=109&amp;col=22&amp;number=&amp;sourceID=30","")</f>
        <v/>
      </c>
      <c r="W109" s="4" t="str">
        <f>HYPERLINK("http://141.218.60.56/~jnz1568/getInfo.php?workbook=11_01.xlsx&amp;sheet=A0&amp;row=109&amp;col=23&amp;number=&amp;sourceID=30","")</f>
        <v/>
      </c>
      <c r="X109" s="4" t="str">
        <f>HYPERLINK("http://141.218.60.56/~jnz1568/getInfo.php?workbook=11_01.xlsx&amp;sheet=A0&amp;row=109&amp;col=24&amp;number=&amp;sourceID=30","")</f>
        <v/>
      </c>
      <c r="Y109" s="4" t="str">
        <f>HYPERLINK("http://141.218.60.56/~jnz1568/getInfo.php?workbook=11_01.xlsx&amp;sheet=A0&amp;row=109&amp;col=25&amp;number=265&amp;sourceID=30","265")</f>
        <v>265</v>
      </c>
      <c r="Z109" s="4" t="str">
        <f>HYPERLINK("http://141.218.60.56/~jnz1568/getInfo.php?workbook=11_01.xlsx&amp;sheet=A0&amp;row=109&amp;col=26&amp;number==SUM(AA109:AE109)&amp;sourceID=13","=SUM(AA109:AE109)")</f>
        <v>=SUM(AA109:AE109)</v>
      </c>
      <c r="AA109" s="4" t="str">
        <f>HYPERLINK("http://141.218.60.56/~jnz1568/getInfo.php?workbook=11_01.xlsx&amp;sheet=A0&amp;row=109&amp;col=27&amp;number=&amp;sourceID=13","")</f>
        <v/>
      </c>
      <c r="AB109" s="4" t="str">
        <f>HYPERLINK("http://141.218.60.56/~jnz1568/getInfo.php?workbook=11_01.xlsx&amp;sheet=A0&amp;row=109&amp;col=28&amp;number=&amp;sourceID=13","")</f>
        <v/>
      </c>
      <c r="AC109" s="4" t="str">
        <f>HYPERLINK("http://141.218.60.56/~jnz1568/getInfo.php?workbook=11_01.xlsx&amp;sheet=A0&amp;row=109&amp;col=29&amp;number=65.1&amp;sourceID=13","65.1")</f>
        <v>65.1</v>
      </c>
      <c r="AD109" s="4" t="str">
        <f>HYPERLINK("http://141.218.60.56/~jnz1568/getInfo.php?workbook=11_01.xlsx&amp;sheet=A0&amp;row=109&amp;col=30&amp;number=&amp;sourceID=13","")</f>
        <v/>
      </c>
      <c r="AE109" s="4" t="str">
        <f>HYPERLINK("http://141.218.60.56/~jnz1568/getInfo.php?workbook=11_01.xlsx&amp;sheet=A0&amp;row=109&amp;col=31&amp;number=1060&amp;sourceID=13","1060")</f>
        <v>1060</v>
      </c>
    </row>
    <row r="110" spans="1:31">
      <c r="A110" s="3">
        <v>11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HYPERLINK("http://141.218.60.56/~jnz1568/getInfo.php?workbook=11_01.xlsx&amp;sheet=A0&amp;row=110&amp;col=6&amp;number=&amp;sourceID=18","")</f>
        <v/>
      </c>
      <c r="G110" s="4" t="str">
        <f>HYPERLINK("http://141.218.60.56/~jnz1568/getInfo.php?workbook=11_01.xlsx&amp;sheet=A0&amp;row=110&amp;col=7&amp;number==&amp;sourceID=11","=")</f>
        <v>=</v>
      </c>
      <c r="H110" s="4" t="str">
        <f>HYPERLINK("http://141.218.60.56/~jnz1568/getInfo.php?workbook=11_01.xlsx&amp;sheet=A0&amp;row=110&amp;col=8&amp;number=&amp;sourceID=11","")</f>
        <v/>
      </c>
      <c r="I110" s="4" t="str">
        <f>HYPERLINK("http://141.218.60.56/~jnz1568/getInfo.php?workbook=11_01.xlsx&amp;sheet=A0&amp;row=110&amp;col=9&amp;number=10281000&amp;sourceID=11","10281000")</f>
        <v>10281000</v>
      </c>
      <c r="J110" s="4" t="str">
        <f>HYPERLINK("http://141.218.60.56/~jnz1568/getInfo.php?workbook=11_01.xlsx&amp;sheet=A0&amp;row=110&amp;col=10&amp;number=&amp;sourceID=11","")</f>
        <v/>
      </c>
      <c r="K110" s="4" t="str">
        <f>HYPERLINK("http://141.218.60.56/~jnz1568/getInfo.php?workbook=11_01.xlsx&amp;sheet=A0&amp;row=110&amp;col=11&amp;number=&amp;sourceID=11","")</f>
        <v/>
      </c>
      <c r="L110" s="4" t="str">
        <f>HYPERLINK("http://141.218.60.56/~jnz1568/getInfo.php?workbook=11_01.xlsx&amp;sheet=A0&amp;row=110&amp;col=12&amp;number=&amp;sourceID=11","")</f>
        <v/>
      </c>
      <c r="M110" s="4" t="str">
        <f>HYPERLINK("http://141.218.60.56/~jnz1568/getInfo.php?workbook=11_01.xlsx&amp;sheet=A0&amp;row=110&amp;col=13&amp;number=0.054148&amp;sourceID=11","0.054148")</f>
        <v>0.054148</v>
      </c>
      <c r="N110" s="4" t="str">
        <f>HYPERLINK("http://141.218.60.56/~jnz1568/getInfo.php?workbook=11_01.xlsx&amp;sheet=A0&amp;row=110&amp;col=14&amp;number=10281000&amp;sourceID=12","10281000")</f>
        <v>10281000</v>
      </c>
      <c r="O110" s="4" t="str">
        <f>HYPERLINK("http://141.218.60.56/~jnz1568/getInfo.php?workbook=11_01.xlsx&amp;sheet=A0&amp;row=110&amp;col=15&amp;number=&amp;sourceID=12","")</f>
        <v/>
      </c>
      <c r="P110" s="4" t="str">
        <f>HYPERLINK("http://141.218.60.56/~jnz1568/getInfo.php?workbook=11_01.xlsx&amp;sheet=A0&amp;row=110&amp;col=16&amp;number=10281000&amp;sourceID=12","10281000")</f>
        <v>10281000</v>
      </c>
      <c r="Q110" s="4" t="str">
        <f>HYPERLINK("http://141.218.60.56/~jnz1568/getInfo.php?workbook=11_01.xlsx&amp;sheet=A0&amp;row=110&amp;col=17&amp;number=&amp;sourceID=12","")</f>
        <v/>
      </c>
      <c r="R110" s="4" t="str">
        <f>HYPERLINK("http://141.218.60.56/~jnz1568/getInfo.php?workbook=11_01.xlsx&amp;sheet=A0&amp;row=110&amp;col=18&amp;number=&amp;sourceID=12","")</f>
        <v/>
      </c>
      <c r="S110" s="4" t="str">
        <f>HYPERLINK("http://141.218.60.56/~jnz1568/getInfo.php?workbook=11_01.xlsx&amp;sheet=A0&amp;row=110&amp;col=19&amp;number=&amp;sourceID=12","")</f>
        <v/>
      </c>
      <c r="T110" s="4" t="str">
        <f>HYPERLINK("http://141.218.60.56/~jnz1568/getInfo.php?workbook=11_01.xlsx&amp;sheet=A0&amp;row=110&amp;col=20&amp;number=0.054149&amp;sourceID=12","0.054149")</f>
        <v>0.054149</v>
      </c>
      <c r="U110" s="4" t="str">
        <f>HYPERLINK("http://141.218.60.56/~jnz1568/getInfo.php?workbook=11_01.xlsx&amp;sheet=A0&amp;row=110&amp;col=21&amp;number=10280000&amp;sourceID=30","10280000")</f>
        <v>10280000</v>
      </c>
      <c r="V110" s="4" t="str">
        <f>HYPERLINK("http://141.218.60.56/~jnz1568/getInfo.php?workbook=11_01.xlsx&amp;sheet=A0&amp;row=110&amp;col=22&amp;number=&amp;sourceID=30","")</f>
        <v/>
      </c>
      <c r="W110" s="4" t="str">
        <f>HYPERLINK("http://141.218.60.56/~jnz1568/getInfo.php?workbook=11_01.xlsx&amp;sheet=A0&amp;row=110&amp;col=23&amp;number=10280000&amp;sourceID=30","10280000")</f>
        <v>10280000</v>
      </c>
      <c r="X110" s="4" t="str">
        <f>HYPERLINK("http://141.218.60.56/~jnz1568/getInfo.php?workbook=11_01.xlsx&amp;sheet=A0&amp;row=110&amp;col=24&amp;number=&amp;sourceID=30","")</f>
        <v/>
      </c>
      <c r="Y110" s="4" t="str">
        <f>HYPERLINK("http://141.218.60.56/~jnz1568/getInfo.php?workbook=11_01.xlsx&amp;sheet=A0&amp;row=110&amp;col=25&amp;number=&amp;sourceID=30","")</f>
        <v/>
      </c>
      <c r="Z110" s="4" t="str">
        <f>HYPERLINK("http://141.218.60.56/~jnz1568/getInfo.php?workbook=11_01.xlsx&amp;sheet=A0&amp;row=110&amp;col=26&amp;number==SUM(AA110:AE110)&amp;sourceID=13","=SUM(AA110:AE110)")</f>
        <v>=SUM(AA110:AE110)</v>
      </c>
      <c r="AA110" s="4" t="str">
        <f>HYPERLINK("http://141.218.60.56/~jnz1568/getInfo.php?workbook=11_01.xlsx&amp;sheet=A0&amp;row=110&amp;col=27&amp;number=&amp;sourceID=13","")</f>
        <v/>
      </c>
      <c r="AB110" s="4" t="str">
        <f>HYPERLINK("http://141.218.60.56/~jnz1568/getInfo.php?workbook=11_01.xlsx&amp;sheet=A0&amp;row=110&amp;col=28&amp;number=10300000&amp;sourceID=13","10300000")</f>
        <v>10300000</v>
      </c>
      <c r="AC110" s="4" t="str">
        <f>HYPERLINK("http://141.218.60.56/~jnz1568/getInfo.php?workbook=11_01.xlsx&amp;sheet=A0&amp;row=110&amp;col=29&amp;number=&amp;sourceID=13","")</f>
        <v/>
      </c>
      <c r="AD110" s="4" t="str">
        <f>HYPERLINK("http://141.218.60.56/~jnz1568/getInfo.php?workbook=11_01.xlsx&amp;sheet=A0&amp;row=110&amp;col=30&amp;number=&amp;sourceID=13","")</f>
        <v/>
      </c>
      <c r="AE110" s="4" t="str">
        <f>HYPERLINK("http://141.218.60.56/~jnz1568/getInfo.php?workbook=11_01.xlsx&amp;sheet=A0&amp;row=110&amp;col=31&amp;number=&amp;sourceID=13","")</f>
        <v/>
      </c>
    </row>
    <row r="111" spans="1:31">
      <c r="A111" s="3">
        <v>11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HYPERLINK("http://141.218.60.56/~jnz1568/getInfo.php?workbook=11_01.xlsx&amp;sheet=A0&amp;row=111&amp;col=6&amp;number=&amp;sourceID=18","")</f>
        <v/>
      </c>
      <c r="G111" s="4" t="str">
        <f>HYPERLINK("http://141.218.60.56/~jnz1568/getInfo.php?workbook=11_01.xlsx&amp;sheet=A0&amp;row=111&amp;col=7&amp;number==&amp;sourceID=11","=")</f>
        <v>=</v>
      </c>
      <c r="H111" s="4" t="str">
        <f>HYPERLINK("http://141.218.60.56/~jnz1568/getInfo.php?workbook=11_01.xlsx&amp;sheet=A0&amp;row=111&amp;col=8&amp;number=201960000000&amp;sourceID=11","201960000000")</f>
        <v>201960000000</v>
      </c>
      <c r="I111" s="4" t="str">
        <f>HYPERLINK("http://141.218.60.56/~jnz1568/getInfo.php?workbook=11_01.xlsx&amp;sheet=A0&amp;row=111&amp;col=9&amp;number=&amp;sourceID=11","")</f>
        <v/>
      </c>
      <c r="J111" s="4" t="str">
        <f>HYPERLINK("http://141.218.60.56/~jnz1568/getInfo.php?workbook=11_01.xlsx&amp;sheet=A0&amp;row=111&amp;col=10&amp;number=86.686&amp;sourceID=11","86.686")</f>
        <v>86.686</v>
      </c>
      <c r="K111" s="4" t="str">
        <f>HYPERLINK("http://141.218.60.56/~jnz1568/getInfo.php?workbook=11_01.xlsx&amp;sheet=A0&amp;row=111&amp;col=11&amp;number=&amp;sourceID=11","")</f>
        <v/>
      </c>
      <c r="L111" s="4" t="str">
        <f>HYPERLINK("http://141.218.60.56/~jnz1568/getInfo.php?workbook=11_01.xlsx&amp;sheet=A0&amp;row=111&amp;col=12&amp;number=1820.9&amp;sourceID=11","1820.9")</f>
        <v>1820.9</v>
      </c>
      <c r="M111" s="4" t="str">
        <f>HYPERLINK("http://141.218.60.56/~jnz1568/getInfo.php?workbook=11_01.xlsx&amp;sheet=A0&amp;row=111&amp;col=13&amp;number=&amp;sourceID=11","")</f>
        <v/>
      </c>
      <c r="N111" s="4" t="str">
        <f>HYPERLINK("http://141.218.60.56/~jnz1568/getInfo.php?workbook=11_01.xlsx&amp;sheet=A0&amp;row=111&amp;col=14&amp;number=201960000000&amp;sourceID=12","201960000000")</f>
        <v>201960000000</v>
      </c>
      <c r="O111" s="4" t="str">
        <f>HYPERLINK("http://141.218.60.56/~jnz1568/getInfo.php?workbook=11_01.xlsx&amp;sheet=A0&amp;row=111&amp;col=15&amp;number=201960000000&amp;sourceID=12","201960000000")</f>
        <v>201960000000</v>
      </c>
      <c r="P111" s="4" t="str">
        <f>HYPERLINK("http://141.218.60.56/~jnz1568/getInfo.php?workbook=11_01.xlsx&amp;sheet=A0&amp;row=111&amp;col=16&amp;number=&amp;sourceID=12","")</f>
        <v/>
      </c>
      <c r="Q111" s="4" t="str">
        <f>HYPERLINK("http://141.218.60.56/~jnz1568/getInfo.php?workbook=11_01.xlsx&amp;sheet=A0&amp;row=111&amp;col=17&amp;number=86.689&amp;sourceID=12","86.689")</f>
        <v>86.689</v>
      </c>
      <c r="R111" s="4" t="str">
        <f>HYPERLINK("http://141.218.60.56/~jnz1568/getInfo.php?workbook=11_01.xlsx&amp;sheet=A0&amp;row=111&amp;col=18&amp;number=&amp;sourceID=12","")</f>
        <v/>
      </c>
      <c r="S111" s="4" t="str">
        <f>HYPERLINK("http://141.218.60.56/~jnz1568/getInfo.php?workbook=11_01.xlsx&amp;sheet=A0&amp;row=111&amp;col=19&amp;number=1820.9&amp;sourceID=12","1820.9")</f>
        <v>1820.9</v>
      </c>
      <c r="T111" s="4" t="str">
        <f>HYPERLINK("http://141.218.60.56/~jnz1568/getInfo.php?workbook=11_01.xlsx&amp;sheet=A0&amp;row=111&amp;col=20&amp;number=&amp;sourceID=12","")</f>
        <v/>
      </c>
      <c r="U111" s="4" t="str">
        <f>HYPERLINK("http://141.218.60.56/~jnz1568/getInfo.php?workbook=11_01.xlsx&amp;sheet=A0&amp;row=111&amp;col=21&amp;number=202000001821&amp;sourceID=30","202000001821")</f>
        <v>202000001821</v>
      </c>
      <c r="V111" s="4" t="str">
        <f>HYPERLINK("http://141.218.60.56/~jnz1568/getInfo.php?workbook=11_01.xlsx&amp;sheet=A0&amp;row=111&amp;col=22&amp;number=202000000000&amp;sourceID=30","202000000000")</f>
        <v>202000000000</v>
      </c>
      <c r="W111" s="4" t="str">
        <f>HYPERLINK("http://141.218.60.56/~jnz1568/getInfo.php?workbook=11_01.xlsx&amp;sheet=A0&amp;row=111&amp;col=23&amp;number=&amp;sourceID=30","")</f>
        <v/>
      </c>
      <c r="X111" s="4" t="str">
        <f>HYPERLINK("http://141.218.60.56/~jnz1568/getInfo.php?workbook=11_01.xlsx&amp;sheet=A0&amp;row=111&amp;col=24&amp;number=&amp;sourceID=30","")</f>
        <v/>
      </c>
      <c r="Y111" s="4" t="str">
        <f>HYPERLINK("http://141.218.60.56/~jnz1568/getInfo.php?workbook=11_01.xlsx&amp;sheet=A0&amp;row=111&amp;col=25&amp;number=1821&amp;sourceID=30","1821")</f>
        <v>1821</v>
      </c>
      <c r="Z111" s="4" t="str">
        <f>HYPERLINK("http://141.218.60.56/~jnz1568/getInfo.php?workbook=11_01.xlsx&amp;sheet=A0&amp;row=111&amp;col=26&amp;number==SUM(AA111:AE111)&amp;sourceID=13","=SUM(AA111:AE111)")</f>
        <v>=SUM(AA111:AE111)</v>
      </c>
      <c r="AA111" s="4" t="str">
        <f>HYPERLINK("http://141.218.60.56/~jnz1568/getInfo.php?workbook=11_01.xlsx&amp;sheet=A0&amp;row=111&amp;col=27&amp;number=202000000000&amp;sourceID=13","202000000000")</f>
        <v>202000000000</v>
      </c>
      <c r="AB111" s="4" t="str">
        <f>HYPERLINK("http://141.218.60.56/~jnz1568/getInfo.php?workbook=11_01.xlsx&amp;sheet=A0&amp;row=111&amp;col=28&amp;number=&amp;sourceID=13","")</f>
        <v/>
      </c>
      <c r="AC111" s="4" t="str">
        <f>HYPERLINK("http://141.218.60.56/~jnz1568/getInfo.php?workbook=11_01.xlsx&amp;sheet=A0&amp;row=111&amp;col=29&amp;number=&amp;sourceID=13","")</f>
        <v/>
      </c>
      <c r="AD111" s="4" t="str">
        <f>HYPERLINK("http://141.218.60.56/~jnz1568/getInfo.php?workbook=11_01.xlsx&amp;sheet=A0&amp;row=111&amp;col=30&amp;number=&amp;sourceID=13","")</f>
        <v/>
      </c>
      <c r="AE111" s="4" t="str">
        <f>HYPERLINK("http://141.218.60.56/~jnz1568/getInfo.php?workbook=11_01.xlsx&amp;sheet=A0&amp;row=111&amp;col=31&amp;number=&amp;sourceID=13","")</f>
        <v/>
      </c>
    </row>
    <row r="112" spans="1:31">
      <c r="A112" s="3">
        <v>11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HYPERLINK("http://141.218.60.56/~jnz1568/getInfo.php?workbook=11_01.xlsx&amp;sheet=A0&amp;row=112&amp;col=6&amp;number=&amp;sourceID=18","")</f>
        <v/>
      </c>
      <c r="G112" s="4" t="str">
        <f>HYPERLINK("http://141.218.60.56/~jnz1568/getInfo.php?workbook=11_01.xlsx&amp;sheet=A0&amp;row=112&amp;col=7&amp;number==&amp;sourceID=11","=")</f>
        <v>=</v>
      </c>
      <c r="H112" s="4" t="str">
        <f>HYPERLINK("http://141.218.60.56/~jnz1568/getInfo.php?workbook=11_01.xlsx&amp;sheet=A0&amp;row=112&amp;col=8&amp;number=&amp;sourceID=11","")</f>
        <v/>
      </c>
      <c r="I112" s="4" t="str">
        <f>HYPERLINK("http://141.218.60.56/~jnz1568/getInfo.php?workbook=11_01.xlsx&amp;sheet=A0&amp;row=112&amp;col=9&amp;number=&amp;sourceID=11","")</f>
        <v/>
      </c>
      <c r="J112" s="4" t="str">
        <f>HYPERLINK("http://141.218.60.56/~jnz1568/getInfo.php?workbook=11_01.xlsx&amp;sheet=A0&amp;row=112&amp;col=10&amp;number=&amp;sourceID=11","")</f>
        <v/>
      </c>
      <c r="K112" s="4" t="str">
        <f>HYPERLINK("http://141.218.60.56/~jnz1568/getInfo.php?workbook=11_01.xlsx&amp;sheet=A0&amp;row=112&amp;col=11&amp;number=&amp;sourceID=11","")</f>
        <v/>
      </c>
      <c r="L112" s="4" t="str">
        <f>HYPERLINK("http://141.218.60.56/~jnz1568/getInfo.php?workbook=11_01.xlsx&amp;sheet=A0&amp;row=112&amp;col=12&amp;number=&amp;sourceID=11","")</f>
        <v/>
      </c>
      <c r="M112" s="4" t="str">
        <f>HYPERLINK("http://141.218.60.56/~jnz1568/getInfo.php?workbook=11_01.xlsx&amp;sheet=A0&amp;row=112&amp;col=13&amp;number=0&amp;sourceID=11","0")</f>
        <v>0</v>
      </c>
      <c r="N112" s="4" t="str">
        <f>HYPERLINK("http://141.218.60.56/~jnz1568/getInfo.php?workbook=11_01.xlsx&amp;sheet=A0&amp;row=112&amp;col=14&amp;number=0&amp;sourceID=12","0")</f>
        <v>0</v>
      </c>
      <c r="O112" s="4" t="str">
        <f>HYPERLINK("http://141.218.60.56/~jnz1568/getInfo.php?workbook=11_01.xlsx&amp;sheet=A0&amp;row=112&amp;col=15&amp;number=&amp;sourceID=12","")</f>
        <v/>
      </c>
      <c r="P112" s="4" t="str">
        <f>HYPERLINK("http://141.218.60.56/~jnz1568/getInfo.php?workbook=11_01.xlsx&amp;sheet=A0&amp;row=112&amp;col=16&amp;number=&amp;sourceID=12","")</f>
        <v/>
      </c>
      <c r="Q112" s="4" t="str">
        <f>HYPERLINK("http://141.218.60.56/~jnz1568/getInfo.php?workbook=11_01.xlsx&amp;sheet=A0&amp;row=112&amp;col=17&amp;number=&amp;sourceID=12","")</f>
        <v/>
      </c>
      <c r="R112" s="4" t="str">
        <f>HYPERLINK("http://141.218.60.56/~jnz1568/getInfo.php?workbook=11_01.xlsx&amp;sheet=A0&amp;row=112&amp;col=18&amp;number=&amp;sourceID=12","")</f>
        <v/>
      </c>
      <c r="S112" s="4" t="str">
        <f>HYPERLINK("http://141.218.60.56/~jnz1568/getInfo.php?workbook=11_01.xlsx&amp;sheet=A0&amp;row=112&amp;col=19&amp;number=&amp;sourceID=12","")</f>
        <v/>
      </c>
      <c r="T112" s="4" t="str">
        <f>HYPERLINK("http://141.218.60.56/~jnz1568/getInfo.php?workbook=11_01.xlsx&amp;sheet=A0&amp;row=112&amp;col=20&amp;number=0&amp;sourceID=12","0")</f>
        <v>0</v>
      </c>
      <c r="U112" s="4" t="str">
        <f>HYPERLINK("http://141.218.60.56/~jnz1568/getInfo.php?workbook=11_01.xlsx&amp;sheet=A0&amp;row=112&amp;col=21&amp;number=&amp;sourceID=30","")</f>
        <v/>
      </c>
      <c r="V112" s="4" t="str">
        <f>HYPERLINK("http://141.218.60.56/~jnz1568/getInfo.php?workbook=11_01.xlsx&amp;sheet=A0&amp;row=112&amp;col=22&amp;number=&amp;sourceID=30","")</f>
        <v/>
      </c>
      <c r="W112" s="4" t="str">
        <f>HYPERLINK("http://141.218.60.56/~jnz1568/getInfo.php?workbook=11_01.xlsx&amp;sheet=A0&amp;row=112&amp;col=23&amp;number=&amp;sourceID=30","")</f>
        <v/>
      </c>
      <c r="X112" s="4" t="str">
        <f>HYPERLINK("http://141.218.60.56/~jnz1568/getInfo.php?workbook=11_01.xlsx&amp;sheet=A0&amp;row=112&amp;col=24&amp;number=&amp;sourceID=30","")</f>
        <v/>
      </c>
      <c r="Y112" s="4" t="str">
        <f>HYPERLINK("http://141.218.60.56/~jnz1568/getInfo.php?workbook=11_01.xlsx&amp;sheet=A0&amp;row=112&amp;col=25&amp;number=&amp;sourceID=30","")</f>
        <v/>
      </c>
      <c r="Z112" s="4" t="str">
        <f>HYPERLINK("http://141.218.60.56/~jnz1568/getInfo.php?workbook=11_01.xlsx&amp;sheet=A0&amp;row=112&amp;col=26&amp;number=&amp;sourceID=13","")</f>
        <v/>
      </c>
      <c r="AA112" s="4" t="str">
        <f>HYPERLINK("http://141.218.60.56/~jnz1568/getInfo.php?workbook=11_01.xlsx&amp;sheet=A0&amp;row=112&amp;col=27&amp;number=&amp;sourceID=13","")</f>
        <v/>
      </c>
      <c r="AB112" s="4" t="str">
        <f>HYPERLINK("http://141.218.60.56/~jnz1568/getInfo.php?workbook=11_01.xlsx&amp;sheet=A0&amp;row=112&amp;col=28&amp;number=&amp;sourceID=13","")</f>
        <v/>
      </c>
      <c r="AC112" s="4" t="str">
        <f>HYPERLINK("http://141.218.60.56/~jnz1568/getInfo.php?workbook=11_01.xlsx&amp;sheet=A0&amp;row=112&amp;col=29&amp;number=&amp;sourceID=13","")</f>
        <v/>
      </c>
      <c r="AD112" s="4" t="str">
        <f>HYPERLINK("http://141.218.60.56/~jnz1568/getInfo.php?workbook=11_01.xlsx&amp;sheet=A0&amp;row=112&amp;col=30&amp;number=&amp;sourceID=13","")</f>
        <v/>
      </c>
      <c r="AE112" s="4" t="str">
        <f>HYPERLINK("http://141.218.60.56/~jnz1568/getInfo.php?workbook=11_01.xlsx&amp;sheet=A0&amp;row=112&amp;col=31&amp;number=&amp;sourceID=13","")</f>
        <v/>
      </c>
    </row>
    <row r="113" spans="1:31">
      <c r="A113" s="3">
        <v>11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HYPERLINK("http://141.218.60.56/~jnz1568/getInfo.php?workbook=11_01.xlsx&amp;sheet=A0&amp;row=113&amp;col=6&amp;number=&amp;sourceID=18","")</f>
        <v/>
      </c>
      <c r="G113" s="4" t="str">
        <f>HYPERLINK("http://141.218.60.56/~jnz1568/getInfo.php?workbook=11_01.xlsx&amp;sheet=A0&amp;row=113&amp;col=7&amp;number==&amp;sourceID=11","=")</f>
        <v>=</v>
      </c>
      <c r="H113" s="4" t="str">
        <f>HYPERLINK("http://141.218.60.56/~jnz1568/getInfo.php?workbook=11_01.xlsx&amp;sheet=A0&amp;row=113&amp;col=8&amp;number=&amp;sourceID=11","")</f>
        <v/>
      </c>
      <c r="I113" s="4" t="str">
        <f>HYPERLINK("http://141.218.60.56/~jnz1568/getInfo.php?workbook=11_01.xlsx&amp;sheet=A0&amp;row=113&amp;col=9&amp;number=&amp;sourceID=11","")</f>
        <v/>
      </c>
      <c r="J113" s="4" t="str">
        <f>HYPERLINK("http://141.218.60.56/~jnz1568/getInfo.php?workbook=11_01.xlsx&amp;sheet=A0&amp;row=113&amp;col=10&amp;number=0&amp;sourceID=11","0")</f>
        <v>0</v>
      </c>
      <c r="K113" s="4" t="str">
        <f>HYPERLINK("http://141.218.60.56/~jnz1568/getInfo.php?workbook=11_01.xlsx&amp;sheet=A0&amp;row=113&amp;col=11&amp;number=&amp;sourceID=11","")</f>
        <v/>
      </c>
      <c r="L113" s="4" t="str">
        <f>HYPERLINK("http://141.218.60.56/~jnz1568/getInfo.php?workbook=11_01.xlsx&amp;sheet=A0&amp;row=113&amp;col=12&amp;number=&amp;sourceID=11","")</f>
        <v/>
      </c>
      <c r="M113" s="4" t="str">
        <f>HYPERLINK("http://141.218.60.56/~jnz1568/getInfo.php?workbook=11_01.xlsx&amp;sheet=A0&amp;row=113&amp;col=13&amp;number=&amp;sourceID=11","")</f>
        <v/>
      </c>
      <c r="N113" s="4" t="str">
        <f>HYPERLINK("http://141.218.60.56/~jnz1568/getInfo.php?workbook=11_01.xlsx&amp;sheet=A0&amp;row=113&amp;col=14&amp;number=0&amp;sourceID=12","0")</f>
        <v>0</v>
      </c>
      <c r="O113" s="4" t="str">
        <f>HYPERLINK("http://141.218.60.56/~jnz1568/getInfo.php?workbook=11_01.xlsx&amp;sheet=A0&amp;row=113&amp;col=15&amp;number=&amp;sourceID=12","")</f>
        <v/>
      </c>
      <c r="P113" s="4" t="str">
        <f>HYPERLINK("http://141.218.60.56/~jnz1568/getInfo.php?workbook=11_01.xlsx&amp;sheet=A0&amp;row=113&amp;col=16&amp;number=&amp;sourceID=12","")</f>
        <v/>
      </c>
      <c r="Q113" s="4" t="str">
        <f>HYPERLINK("http://141.218.60.56/~jnz1568/getInfo.php?workbook=11_01.xlsx&amp;sheet=A0&amp;row=113&amp;col=17&amp;number=0&amp;sourceID=12","0")</f>
        <v>0</v>
      </c>
      <c r="R113" s="4" t="str">
        <f>HYPERLINK("http://141.218.60.56/~jnz1568/getInfo.php?workbook=11_01.xlsx&amp;sheet=A0&amp;row=113&amp;col=18&amp;number=&amp;sourceID=12","")</f>
        <v/>
      </c>
      <c r="S113" s="4" t="str">
        <f>HYPERLINK("http://141.218.60.56/~jnz1568/getInfo.php?workbook=11_01.xlsx&amp;sheet=A0&amp;row=113&amp;col=19&amp;number=&amp;sourceID=12","")</f>
        <v/>
      </c>
      <c r="T113" s="4" t="str">
        <f>HYPERLINK("http://141.218.60.56/~jnz1568/getInfo.php?workbook=11_01.xlsx&amp;sheet=A0&amp;row=113&amp;col=20&amp;number=&amp;sourceID=12","")</f>
        <v/>
      </c>
      <c r="U113" s="4" t="str">
        <f>HYPERLINK("http://141.218.60.56/~jnz1568/getInfo.php?workbook=11_01.xlsx&amp;sheet=A0&amp;row=113&amp;col=21&amp;number=&amp;sourceID=30","")</f>
        <v/>
      </c>
      <c r="V113" s="4" t="str">
        <f>HYPERLINK("http://141.218.60.56/~jnz1568/getInfo.php?workbook=11_01.xlsx&amp;sheet=A0&amp;row=113&amp;col=22&amp;number=&amp;sourceID=30","")</f>
        <v/>
      </c>
      <c r="W113" s="4" t="str">
        <f>HYPERLINK("http://141.218.60.56/~jnz1568/getInfo.php?workbook=11_01.xlsx&amp;sheet=A0&amp;row=113&amp;col=23&amp;number=&amp;sourceID=30","")</f>
        <v/>
      </c>
      <c r="X113" s="4" t="str">
        <f>HYPERLINK("http://141.218.60.56/~jnz1568/getInfo.php?workbook=11_01.xlsx&amp;sheet=A0&amp;row=113&amp;col=24&amp;number=&amp;sourceID=30","")</f>
        <v/>
      </c>
      <c r="Y113" s="4" t="str">
        <f>HYPERLINK("http://141.218.60.56/~jnz1568/getInfo.php?workbook=11_01.xlsx&amp;sheet=A0&amp;row=113&amp;col=25&amp;number=&amp;sourceID=30","")</f>
        <v/>
      </c>
      <c r="Z113" s="4" t="str">
        <f>HYPERLINK("http://141.218.60.56/~jnz1568/getInfo.php?workbook=11_01.xlsx&amp;sheet=A0&amp;row=113&amp;col=26&amp;number=&amp;sourceID=13","")</f>
        <v/>
      </c>
      <c r="AA113" s="4" t="str">
        <f>HYPERLINK("http://141.218.60.56/~jnz1568/getInfo.php?workbook=11_01.xlsx&amp;sheet=A0&amp;row=113&amp;col=27&amp;number=&amp;sourceID=13","")</f>
        <v/>
      </c>
      <c r="AB113" s="4" t="str">
        <f>HYPERLINK("http://141.218.60.56/~jnz1568/getInfo.php?workbook=11_01.xlsx&amp;sheet=A0&amp;row=113&amp;col=28&amp;number=&amp;sourceID=13","")</f>
        <v/>
      </c>
      <c r="AC113" s="4" t="str">
        <f>HYPERLINK("http://141.218.60.56/~jnz1568/getInfo.php?workbook=11_01.xlsx&amp;sheet=A0&amp;row=113&amp;col=29&amp;number=&amp;sourceID=13","")</f>
        <v/>
      </c>
      <c r="AD113" s="4" t="str">
        <f>HYPERLINK("http://141.218.60.56/~jnz1568/getInfo.php?workbook=11_01.xlsx&amp;sheet=A0&amp;row=113&amp;col=30&amp;number=&amp;sourceID=13","")</f>
        <v/>
      </c>
      <c r="AE113" s="4" t="str">
        <f>HYPERLINK("http://141.218.60.56/~jnz1568/getInfo.php?workbook=11_01.xlsx&amp;sheet=A0&amp;row=113&amp;col=31&amp;number=&amp;sourceID=13","")</f>
        <v/>
      </c>
    </row>
    <row r="114" spans="1:31">
      <c r="A114" s="3">
        <v>11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HYPERLINK("http://141.218.60.56/~jnz1568/getInfo.php?workbook=11_01.xlsx&amp;sheet=A0&amp;row=114&amp;col=6&amp;number=&amp;sourceID=18","")</f>
        <v/>
      </c>
      <c r="G114" s="4" t="str">
        <f>HYPERLINK("http://141.218.60.56/~jnz1568/getInfo.php?workbook=11_01.xlsx&amp;sheet=A0&amp;row=114&amp;col=7&amp;number==&amp;sourceID=11","=")</f>
        <v>=</v>
      </c>
      <c r="H114" s="4" t="str">
        <f>HYPERLINK("http://141.218.60.56/~jnz1568/getInfo.php?workbook=11_01.xlsx&amp;sheet=A0&amp;row=114&amp;col=8&amp;number=&amp;sourceID=11","")</f>
        <v/>
      </c>
      <c r="I114" s="4" t="str">
        <f>HYPERLINK("http://141.218.60.56/~jnz1568/getInfo.php?workbook=11_01.xlsx&amp;sheet=A0&amp;row=114&amp;col=9&amp;number=&amp;sourceID=11","")</f>
        <v/>
      </c>
      <c r="J114" s="4" t="str">
        <f>HYPERLINK("http://141.218.60.56/~jnz1568/getInfo.php?workbook=11_01.xlsx&amp;sheet=A0&amp;row=114&amp;col=10&amp;number=0&amp;sourceID=11","0")</f>
        <v>0</v>
      </c>
      <c r="K114" s="4" t="str">
        <f>HYPERLINK("http://141.218.60.56/~jnz1568/getInfo.php?workbook=11_01.xlsx&amp;sheet=A0&amp;row=114&amp;col=11&amp;number=&amp;sourceID=11","")</f>
        <v/>
      </c>
      <c r="L114" s="4" t="str">
        <f>HYPERLINK("http://141.218.60.56/~jnz1568/getInfo.php?workbook=11_01.xlsx&amp;sheet=A0&amp;row=114&amp;col=12&amp;number=2.4e-14&amp;sourceID=11","2.4e-14")</f>
        <v>2.4e-14</v>
      </c>
      <c r="M114" s="4" t="str">
        <f>HYPERLINK("http://141.218.60.56/~jnz1568/getInfo.php?workbook=11_01.xlsx&amp;sheet=A0&amp;row=114&amp;col=13&amp;number=&amp;sourceID=11","")</f>
        <v/>
      </c>
      <c r="N114" s="4" t="str">
        <f>HYPERLINK("http://141.218.60.56/~jnz1568/getInfo.php?workbook=11_01.xlsx&amp;sheet=A0&amp;row=114&amp;col=14&amp;number=2.4e-14&amp;sourceID=12","2.4e-14")</f>
        <v>2.4e-14</v>
      </c>
      <c r="O114" s="4" t="str">
        <f>HYPERLINK("http://141.218.60.56/~jnz1568/getInfo.php?workbook=11_01.xlsx&amp;sheet=A0&amp;row=114&amp;col=15&amp;number=&amp;sourceID=12","")</f>
        <v/>
      </c>
      <c r="P114" s="4" t="str">
        <f>HYPERLINK("http://141.218.60.56/~jnz1568/getInfo.php?workbook=11_01.xlsx&amp;sheet=A0&amp;row=114&amp;col=16&amp;number=&amp;sourceID=12","")</f>
        <v/>
      </c>
      <c r="Q114" s="4" t="str">
        <f>HYPERLINK("http://141.218.60.56/~jnz1568/getInfo.php?workbook=11_01.xlsx&amp;sheet=A0&amp;row=114&amp;col=17&amp;number=0&amp;sourceID=12","0")</f>
        <v>0</v>
      </c>
      <c r="R114" s="4" t="str">
        <f>HYPERLINK("http://141.218.60.56/~jnz1568/getInfo.php?workbook=11_01.xlsx&amp;sheet=A0&amp;row=114&amp;col=18&amp;number=&amp;sourceID=12","")</f>
        <v/>
      </c>
      <c r="S114" s="4" t="str">
        <f>HYPERLINK("http://141.218.60.56/~jnz1568/getInfo.php?workbook=11_01.xlsx&amp;sheet=A0&amp;row=114&amp;col=19&amp;number=2.4e-14&amp;sourceID=12","2.4e-14")</f>
        <v>2.4e-14</v>
      </c>
      <c r="T114" s="4" t="str">
        <f>HYPERLINK("http://141.218.60.56/~jnz1568/getInfo.php?workbook=11_01.xlsx&amp;sheet=A0&amp;row=114&amp;col=20&amp;number=&amp;sourceID=12","")</f>
        <v/>
      </c>
      <c r="U114" s="4" t="str">
        <f>HYPERLINK("http://141.218.60.56/~jnz1568/getInfo.php?workbook=11_01.xlsx&amp;sheet=A0&amp;row=114&amp;col=21&amp;number=2.4e-14&amp;sourceID=30","2.4e-14")</f>
        <v>2.4e-14</v>
      </c>
      <c r="V114" s="4" t="str">
        <f>HYPERLINK("http://141.218.60.56/~jnz1568/getInfo.php?workbook=11_01.xlsx&amp;sheet=A0&amp;row=114&amp;col=22&amp;number=&amp;sourceID=30","")</f>
        <v/>
      </c>
      <c r="W114" s="4" t="str">
        <f>HYPERLINK("http://141.218.60.56/~jnz1568/getInfo.php?workbook=11_01.xlsx&amp;sheet=A0&amp;row=114&amp;col=23&amp;number=&amp;sourceID=30","")</f>
        <v/>
      </c>
      <c r="X114" s="4" t="str">
        <f>HYPERLINK("http://141.218.60.56/~jnz1568/getInfo.php?workbook=11_01.xlsx&amp;sheet=A0&amp;row=114&amp;col=24&amp;number=&amp;sourceID=30","")</f>
        <v/>
      </c>
      <c r="Y114" s="4" t="str">
        <f>HYPERLINK("http://141.218.60.56/~jnz1568/getInfo.php?workbook=11_01.xlsx&amp;sheet=A0&amp;row=114&amp;col=25&amp;number=2.4e-14&amp;sourceID=30","2.4e-14")</f>
        <v>2.4e-14</v>
      </c>
      <c r="Z114" s="4" t="str">
        <f>HYPERLINK("http://141.218.60.56/~jnz1568/getInfo.php?workbook=11_01.xlsx&amp;sheet=A0&amp;row=114&amp;col=26&amp;number=&amp;sourceID=13","")</f>
        <v/>
      </c>
      <c r="AA114" s="4" t="str">
        <f>HYPERLINK("http://141.218.60.56/~jnz1568/getInfo.php?workbook=11_01.xlsx&amp;sheet=A0&amp;row=114&amp;col=27&amp;number=&amp;sourceID=13","")</f>
        <v/>
      </c>
      <c r="AB114" s="4" t="str">
        <f>HYPERLINK("http://141.218.60.56/~jnz1568/getInfo.php?workbook=11_01.xlsx&amp;sheet=A0&amp;row=114&amp;col=28&amp;number=&amp;sourceID=13","")</f>
        <v/>
      </c>
      <c r="AC114" s="4" t="str">
        <f>HYPERLINK("http://141.218.60.56/~jnz1568/getInfo.php?workbook=11_01.xlsx&amp;sheet=A0&amp;row=114&amp;col=29&amp;number=&amp;sourceID=13","")</f>
        <v/>
      </c>
      <c r="AD114" s="4" t="str">
        <f>HYPERLINK("http://141.218.60.56/~jnz1568/getInfo.php?workbook=11_01.xlsx&amp;sheet=A0&amp;row=114&amp;col=30&amp;number=&amp;sourceID=13","")</f>
        <v/>
      </c>
      <c r="AE114" s="4" t="str">
        <f>HYPERLINK("http://141.218.60.56/~jnz1568/getInfo.php?workbook=11_01.xlsx&amp;sheet=A0&amp;row=114&amp;col=31&amp;number=&amp;sourceID=13","")</f>
        <v/>
      </c>
    </row>
    <row r="115" spans="1:31">
      <c r="A115" s="3">
        <v>11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HYPERLINK("http://141.218.60.56/~jnz1568/getInfo.php?workbook=11_01.xlsx&amp;sheet=A0&amp;row=115&amp;col=6&amp;number=&amp;sourceID=18","")</f>
        <v/>
      </c>
      <c r="G115" s="4" t="str">
        <f>HYPERLINK("http://141.218.60.56/~jnz1568/getInfo.php?workbook=11_01.xlsx&amp;sheet=A0&amp;row=115&amp;col=7&amp;number==&amp;sourceID=11","=")</f>
        <v>=</v>
      </c>
      <c r="H115" s="4" t="str">
        <f>HYPERLINK("http://141.218.60.56/~jnz1568/getInfo.php?workbook=11_01.xlsx&amp;sheet=A0&amp;row=115&amp;col=8&amp;number=&amp;sourceID=11","")</f>
        <v/>
      </c>
      <c r="I115" s="4" t="str">
        <f>HYPERLINK("http://141.218.60.56/~jnz1568/getInfo.php?workbook=11_01.xlsx&amp;sheet=A0&amp;row=115&amp;col=9&amp;number=1.1073e-09&amp;sourceID=11","1.1073e-09")</f>
        <v>1.1073e-09</v>
      </c>
      <c r="J115" s="4" t="str">
        <f>HYPERLINK("http://141.218.60.56/~jnz1568/getInfo.php?workbook=11_01.xlsx&amp;sheet=A0&amp;row=115&amp;col=10&amp;number=&amp;sourceID=11","")</f>
        <v/>
      </c>
      <c r="K115" s="4" t="str">
        <f>HYPERLINK("http://141.218.60.56/~jnz1568/getInfo.php?workbook=11_01.xlsx&amp;sheet=A0&amp;row=115&amp;col=11&amp;number=&amp;sourceID=11","")</f>
        <v/>
      </c>
      <c r="L115" s="4" t="str">
        <f>HYPERLINK("http://141.218.60.56/~jnz1568/getInfo.php?workbook=11_01.xlsx&amp;sheet=A0&amp;row=115&amp;col=12&amp;number=&amp;sourceID=11","")</f>
        <v/>
      </c>
      <c r="M115" s="4" t="str">
        <f>HYPERLINK("http://141.218.60.56/~jnz1568/getInfo.php?workbook=11_01.xlsx&amp;sheet=A0&amp;row=115&amp;col=13&amp;number=0&amp;sourceID=11","0")</f>
        <v>0</v>
      </c>
      <c r="N115" s="4" t="str">
        <f>HYPERLINK("http://141.218.60.56/~jnz1568/getInfo.php?workbook=11_01.xlsx&amp;sheet=A0&amp;row=115&amp;col=14&amp;number=1.1073e-09&amp;sourceID=12","1.1073e-09")</f>
        <v>1.1073e-09</v>
      </c>
      <c r="O115" s="4" t="str">
        <f>HYPERLINK("http://141.218.60.56/~jnz1568/getInfo.php?workbook=11_01.xlsx&amp;sheet=A0&amp;row=115&amp;col=15&amp;number=&amp;sourceID=12","")</f>
        <v/>
      </c>
      <c r="P115" s="4" t="str">
        <f>HYPERLINK("http://141.218.60.56/~jnz1568/getInfo.php?workbook=11_01.xlsx&amp;sheet=A0&amp;row=115&amp;col=16&amp;number=1.1073e-09&amp;sourceID=12","1.1073e-09")</f>
        <v>1.1073e-09</v>
      </c>
      <c r="Q115" s="4" t="str">
        <f>HYPERLINK("http://141.218.60.56/~jnz1568/getInfo.php?workbook=11_01.xlsx&amp;sheet=A0&amp;row=115&amp;col=17&amp;number=&amp;sourceID=12","")</f>
        <v/>
      </c>
      <c r="R115" s="4" t="str">
        <f>HYPERLINK("http://141.218.60.56/~jnz1568/getInfo.php?workbook=11_01.xlsx&amp;sheet=A0&amp;row=115&amp;col=18&amp;number=&amp;sourceID=12","")</f>
        <v/>
      </c>
      <c r="S115" s="4" t="str">
        <f>HYPERLINK("http://141.218.60.56/~jnz1568/getInfo.php?workbook=11_01.xlsx&amp;sheet=A0&amp;row=115&amp;col=19&amp;number=&amp;sourceID=12","")</f>
        <v/>
      </c>
      <c r="T115" s="4" t="str">
        <f>HYPERLINK("http://141.218.60.56/~jnz1568/getInfo.php?workbook=11_01.xlsx&amp;sheet=A0&amp;row=115&amp;col=20&amp;number=0&amp;sourceID=12","0")</f>
        <v>0</v>
      </c>
      <c r="U115" s="4" t="str">
        <f>HYPERLINK("http://141.218.60.56/~jnz1568/getInfo.php?workbook=11_01.xlsx&amp;sheet=A0&amp;row=115&amp;col=21&amp;number=1.107e-09&amp;sourceID=30","1.107e-09")</f>
        <v>1.107e-09</v>
      </c>
      <c r="V115" s="4" t="str">
        <f>HYPERLINK("http://141.218.60.56/~jnz1568/getInfo.php?workbook=11_01.xlsx&amp;sheet=A0&amp;row=115&amp;col=22&amp;number=&amp;sourceID=30","")</f>
        <v/>
      </c>
      <c r="W115" s="4" t="str">
        <f>HYPERLINK("http://141.218.60.56/~jnz1568/getInfo.php?workbook=11_01.xlsx&amp;sheet=A0&amp;row=115&amp;col=23&amp;number=1.107e-09&amp;sourceID=30","1.107e-09")</f>
        <v>1.107e-09</v>
      </c>
      <c r="X115" s="4" t="str">
        <f>HYPERLINK("http://141.218.60.56/~jnz1568/getInfo.php?workbook=11_01.xlsx&amp;sheet=A0&amp;row=115&amp;col=24&amp;number=&amp;sourceID=30","")</f>
        <v/>
      </c>
      <c r="Y115" s="4" t="str">
        <f>HYPERLINK("http://141.218.60.56/~jnz1568/getInfo.php?workbook=11_01.xlsx&amp;sheet=A0&amp;row=115&amp;col=25&amp;number=&amp;sourceID=30","")</f>
        <v/>
      </c>
      <c r="Z115" s="4" t="str">
        <f>HYPERLINK("http://141.218.60.56/~jnz1568/getInfo.php?workbook=11_01.xlsx&amp;sheet=A0&amp;row=115&amp;col=26&amp;number=&amp;sourceID=13","")</f>
        <v/>
      </c>
      <c r="AA115" s="4" t="str">
        <f>HYPERLINK("http://141.218.60.56/~jnz1568/getInfo.php?workbook=11_01.xlsx&amp;sheet=A0&amp;row=115&amp;col=27&amp;number=&amp;sourceID=13","")</f>
        <v/>
      </c>
      <c r="AB115" s="4" t="str">
        <f>HYPERLINK("http://141.218.60.56/~jnz1568/getInfo.php?workbook=11_01.xlsx&amp;sheet=A0&amp;row=115&amp;col=28&amp;number=&amp;sourceID=13","")</f>
        <v/>
      </c>
      <c r="AC115" s="4" t="str">
        <f>HYPERLINK("http://141.218.60.56/~jnz1568/getInfo.php?workbook=11_01.xlsx&amp;sheet=A0&amp;row=115&amp;col=29&amp;number=&amp;sourceID=13","")</f>
        <v/>
      </c>
      <c r="AD115" s="4" t="str">
        <f>HYPERLINK("http://141.218.60.56/~jnz1568/getInfo.php?workbook=11_01.xlsx&amp;sheet=A0&amp;row=115&amp;col=30&amp;number=&amp;sourceID=13","")</f>
        <v/>
      </c>
      <c r="AE115" s="4" t="str">
        <f>HYPERLINK("http://141.218.60.56/~jnz1568/getInfo.php?workbook=11_01.xlsx&amp;sheet=A0&amp;row=115&amp;col=31&amp;number=&amp;sourceID=13","")</f>
        <v/>
      </c>
    </row>
    <row r="116" spans="1:31">
      <c r="A116" s="3">
        <v>11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HYPERLINK("http://141.218.60.56/~jnz1568/getInfo.php?workbook=11_01.xlsx&amp;sheet=A0&amp;row=116&amp;col=6&amp;number=&amp;sourceID=18","")</f>
        <v/>
      </c>
      <c r="G116" s="4" t="str">
        <f>HYPERLINK("http://141.218.60.56/~jnz1568/getInfo.php?workbook=11_01.xlsx&amp;sheet=A0&amp;row=116&amp;col=7&amp;number==&amp;sourceID=11","=")</f>
        <v>=</v>
      </c>
      <c r="H116" s="4" t="str">
        <f>HYPERLINK("http://141.218.60.56/~jnz1568/getInfo.php?workbook=11_01.xlsx&amp;sheet=A0&amp;row=116&amp;col=8&amp;number=&amp;sourceID=11","")</f>
        <v/>
      </c>
      <c r="I116" s="4" t="str">
        <f>HYPERLINK("http://141.218.60.56/~jnz1568/getInfo.php?workbook=11_01.xlsx&amp;sheet=A0&amp;row=116&amp;col=9&amp;number=4.87e-13&amp;sourceID=11","4.87e-13")</f>
        <v>4.87e-13</v>
      </c>
      <c r="J116" s="4" t="str">
        <f>HYPERLINK("http://141.218.60.56/~jnz1568/getInfo.php?workbook=11_01.xlsx&amp;sheet=A0&amp;row=116&amp;col=10&amp;number=&amp;sourceID=11","")</f>
        <v/>
      </c>
      <c r="K116" s="4" t="str">
        <f>HYPERLINK("http://141.218.60.56/~jnz1568/getInfo.php?workbook=11_01.xlsx&amp;sheet=A0&amp;row=116&amp;col=11&amp;number=1.6004e-05&amp;sourceID=11","1.6004e-05")</f>
        <v>1.6004e-05</v>
      </c>
      <c r="L116" s="4" t="str">
        <f>HYPERLINK("http://141.218.60.56/~jnz1568/getInfo.php?workbook=11_01.xlsx&amp;sheet=A0&amp;row=116&amp;col=12&amp;number=&amp;sourceID=11","")</f>
        <v/>
      </c>
      <c r="M116" s="4" t="str">
        <f>HYPERLINK("http://141.218.60.56/~jnz1568/getInfo.php?workbook=11_01.xlsx&amp;sheet=A0&amp;row=116&amp;col=13&amp;number=0&amp;sourceID=11","0")</f>
        <v>0</v>
      </c>
      <c r="N116" s="4" t="str">
        <f>HYPERLINK("http://141.218.60.56/~jnz1568/getInfo.php?workbook=11_01.xlsx&amp;sheet=A0&amp;row=116&amp;col=14&amp;number=1.6004e-05&amp;sourceID=12","1.6004e-05")</f>
        <v>1.6004e-05</v>
      </c>
      <c r="O116" s="4" t="str">
        <f>HYPERLINK("http://141.218.60.56/~jnz1568/getInfo.php?workbook=11_01.xlsx&amp;sheet=A0&amp;row=116&amp;col=15&amp;number=&amp;sourceID=12","")</f>
        <v/>
      </c>
      <c r="P116" s="4" t="str">
        <f>HYPERLINK("http://141.218.60.56/~jnz1568/getInfo.php?workbook=11_01.xlsx&amp;sheet=A0&amp;row=116&amp;col=16&amp;number=4.87e-13&amp;sourceID=12","4.87e-13")</f>
        <v>4.87e-13</v>
      </c>
      <c r="Q116" s="4" t="str">
        <f>HYPERLINK("http://141.218.60.56/~jnz1568/getInfo.php?workbook=11_01.xlsx&amp;sheet=A0&amp;row=116&amp;col=17&amp;number=&amp;sourceID=12","")</f>
        <v/>
      </c>
      <c r="R116" s="4" t="str">
        <f>HYPERLINK("http://141.218.60.56/~jnz1568/getInfo.php?workbook=11_01.xlsx&amp;sheet=A0&amp;row=116&amp;col=18&amp;number=1.6004e-05&amp;sourceID=12","1.6004e-05")</f>
        <v>1.6004e-05</v>
      </c>
      <c r="S116" s="4" t="str">
        <f>HYPERLINK("http://141.218.60.56/~jnz1568/getInfo.php?workbook=11_01.xlsx&amp;sheet=A0&amp;row=116&amp;col=19&amp;number=&amp;sourceID=12","")</f>
        <v/>
      </c>
      <c r="T116" s="4" t="str">
        <f>HYPERLINK("http://141.218.60.56/~jnz1568/getInfo.php?workbook=11_01.xlsx&amp;sheet=A0&amp;row=116&amp;col=20&amp;number=0&amp;sourceID=12","0")</f>
        <v>0</v>
      </c>
      <c r="U116" s="4" t="str">
        <f>HYPERLINK("http://141.218.60.56/~jnz1568/getInfo.php?workbook=11_01.xlsx&amp;sheet=A0&amp;row=116&amp;col=21&amp;number=1.6000000487e-05&amp;sourceID=30","1.6000000487e-05")</f>
        <v>1.6000000487e-05</v>
      </c>
      <c r="V116" s="4" t="str">
        <f>HYPERLINK("http://141.218.60.56/~jnz1568/getInfo.php?workbook=11_01.xlsx&amp;sheet=A0&amp;row=116&amp;col=22&amp;number=&amp;sourceID=30","")</f>
        <v/>
      </c>
      <c r="W116" s="4" t="str">
        <f>HYPERLINK("http://141.218.60.56/~jnz1568/getInfo.php?workbook=11_01.xlsx&amp;sheet=A0&amp;row=116&amp;col=23&amp;number=4.87e-13&amp;sourceID=30","4.87e-13")</f>
        <v>4.87e-13</v>
      </c>
      <c r="X116" s="4" t="str">
        <f>HYPERLINK("http://141.218.60.56/~jnz1568/getInfo.php?workbook=11_01.xlsx&amp;sheet=A0&amp;row=116&amp;col=24&amp;number=1.6e-05&amp;sourceID=30","1.6e-05")</f>
        <v>1.6e-05</v>
      </c>
      <c r="Y116" s="4" t="str">
        <f>HYPERLINK("http://141.218.60.56/~jnz1568/getInfo.php?workbook=11_01.xlsx&amp;sheet=A0&amp;row=116&amp;col=25&amp;number=&amp;sourceID=30","")</f>
        <v/>
      </c>
      <c r="Z116" s="4" t="str">
        <f>HYPERLINK("http://141.218.60.56/~jnz1568/getInfo.php?workbook=11_01.xlsx&amp;sheet=A0&amp;row=116&amp;col=26&amp;number==SUM(AA116:AE116)&amp;sourceID=13","=SUM(AA116:AE116)")</f>
        <v>=SUM(AA116:AE116)</v>
      </c>
      <c r="AA116" s="4" t="str">
        <f>HYPERLINK("http://141.218.60.56/~jnz1568/getInfo.php?workbook=11_01.xlsx&amp;sheet=A0&amp;row=116&amp;col=27&amp;number=&amp;sourceID=13","")</f>
        <v/>
      </c>
      <c r="AB116" s="4" t="str">
        <f>HYPERLINK("http://141.218.60.56/~jnz1568/getInfo.php?workbook=11_01.xlsx&amp;sheet=A0&amp;row=116&amp;col=28&amp;number=4.86e-13&amp;sourceID=13","4.86e-13")</f>
        <v>4.86e-13</v>
      </c>
      <c r="AC116" s="4" t="str">
        <f>HYPERLINK("http://141.218.60.56/~jnz1568/getInfo.php?workbook=11_01.xlsx&amp;sheet=A0&amp;row=116&amp;col=29&amp;number=&amp;sourceID=13","")</f>
        <v/>
      </c>
      <c r="AD116" s="4" t="str">
        <f>HYPERLINK("http://141.218.60.56/~jnz1568/getInfo.php?workbook=11_01.xlsx&amp;sheet=A0&amp;row=116&amp;col=30&amp;number=1.6e-05&amp;sourceID=13","1.6e-05")</f>
        <v>1.6e-05</v>
      </c>
      <c r="AE116" s="4" t="str">
        <f>HYPERLINK("http://141.218.60.56/~jnz1568/getInfo.php?workbook=11_01.xlsx&amp;sheet=A0&amp;row=116&amp;col=31&amp;number=&amp;sourceID=13","")</f>
        <v/>
      </c>
    </row>
    <row r="117" spans="1:31">
      <c r="A117" s="3">
        <v>11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HYPERLINK("http://141.218.60.56/~jnz1568/getInfo.php?workbook=11_01.xlsx&amp;sheet=A0&amp;row=117&amp;col=6&amp;number=&amp;sourceID=18","")</f>
        <v/>
      </c>
      <c r="G117" s="4" t="str">
        <f>HYPERLINK("http://141.218.60.56/~jnz1568/getInfo.php?workbook=11_01.xlsx&amp;sheet=A0&amp;row=117&amp;col=7&amp;number==&amp;sourceID=11","=")</f>
        <v>=</v>
      </c>
      <c r="H117" s="4" t="str">
        <f>HYPERLINK("http://141.218.60.56/~jnz1568/getInfo.php?workbook=11_01.xlsx&amp;sheet=A0&amp;row=117&amp;col=8&amp;number=2.5033&amp;sourceID=11","2.5033")</f>
        <v>2.5033</v>
      </c>
      <c r="I117" s="4" t="str">
        <f>HYPERLINK("http://141.218.60.56/~jnz1568/getInfo.php?workbook=11_01.xlsx&amp;sheet=A0&amp;row=117&amp;col=9&amp;number=&amp;sourceID=11","")</f>
        <v/>
      </c>
      <c r="J117" s="4" t="str">
        <f>HYPERLINK("http://141.218.60.56/~jnz1568/getInfo.php?workbook=11_01.xlsx&amp;sheet=A0&amp;row=117&amp;col=10&amp;number=0&amp;sourceID=11","0")</f>
        <v>0</v>
      </c>
      <c r="K117" s="4" t="str">
        <f>HYPERLINK("http://141.218.60.56/~jnz1568/getInfo.php?workbook=11_01.xlsx&amp;sheet=A0&amp;row=117&amp;col=11&amp;number=&amp;sourceID=11","")</f>
        <v/>
      </c>
      <c r="L117" s="4" t="str">
        <f>HYPERLINK("http://141.218.60.56/~jnz1568/getInfo.php?workbook=11_01.xlsx&amp;sheet=A0&amp;row=117&amp;col=12&amp;number=1e-15&amp;sourceID=11","1e-15")</f>
        <v>1e-15</v>
      </c>
      <c r="M117" s="4" t="str">
        <f>HYPERLINK("http://141.218.60.56/~jnz1568/getInfo.php?workbook=11_01.xlsx&amp;sheet=A0&amp;row=117&amp;col=13&amp;number=&amp;sourceID=11","")</f>
        <v/>
      </c>
      <c r="N117" s="4" t="str">
        <f>HYPERLINK("http://141.218.60.56/~jnz1568/getInfo.php?workbook=11_01.xlsx&amp;sheet=A0&amp;row=117&amp;col=14&amp;number=2.5034&amp;sourceID=12","2.5034")</f>
        <v>2.5034</v>
      </c>
      <c r="O117" s="4" t="str">
        <f>HYPERLINK("http://141.218.60.56/~jnz1568/getInfo.php?workbook=11_01.xlsx&amp;sheet=A0&amp;row=117&amp;col=15&amp;number=2.5034&amp;sourceID=12","2.5034")</f>
        <v>2.5034</v>
      </c>
      <c r="P117" s="4" t="str">
        <f>HYPERLINK("http://141.218.60.56/~jnz1568/getInfo.php?workbook=11_01.xlsx&amp;sheet=A0&amp;row=117&amp;col=16&amp;number=&amp;sourceID=12","")</f>
        <v/>
      </c>
      <c r="Q117" s="4" t="str">
        <f>HYPERLINK("http://141.218.60.56/~jnz1568/getInfo.php?workbook=11_01.xlsx&amp;sheet=A0&amp;row=117&amp;col=17&amp;number=0&amp;sourceID=12","0")</f>
        <v>0</v>
      </c>
      <c r="R117" s="4" t="str">
        <f>HYPERLINK("http://141.218.60.56/~jnz1568/getInfo.php?workbook=11_01.xlsx&amp;sheet=A0&amp;row=117&amp;col=18&amp;number=&amp;sourceID=12","")</f>
        <v/>
      </c>
      <c r="S117" s="4" t="str">
        <f>HYPERLINK("http://141.218.60.56/~jnz1568/getInfo.php?workbook=11_01.xlsx&amp;sheet=A0&amp;row=117&amp;col=19&amp;number=1e-15&amp;sourceID=12","1e-15")</f>
        <v>1e-15</v>
      </c>
      <c r="T117" s="4" t="str">
        <f>HYPERLINK("http://141.218.60.56/~jnz1568/getInfo.php?workbook=11_01.xlsx&amp;sheet=A0&amp;row=117&amp;col=20&amp;number=&amp;sourceID=12","")</f>
        <v/>
      </c>
      <c r="U117" s="4" t="str">
        <f>HYPERLINK("http://141.218.60.56/~jnz1568/getInfo.php?workbook=11_01.xlsx&amp;sheet=A0&amp;row=117&amp;col=21&amp;number=2.503&amp;sourceID=30","2.503")</f>
        <v>2.503</v>
      </c>
      <c r="V117" s="4" t="str">
        <f>HYPERLINK("http://141.218.60.56/~jnz1568/getInfo.php?workbook=11_01.xlsx&amp;sheet=A0&amp;row=117&amp;col=22&amp;number=2.503&amp;sourceID=30","2.503")</f>
        <v>2.503</v>
      </c>
      <c r="W117" s="4" t="str">
        <f>HYPERLINK("http://141.218.60.56/~jnz1568/getInfo.php?workbook=11_01.xlsx&amp;sheet=A0&amp;row=117&amp;col=23&amp;number=&amp;sourceID=30","")</f>
        <v/>
      </c>
      <c r="X117" s="4" t="str">
        <f>HYPERLINK("http://141.218.60.56/~jnz1568/getInfo.php?workbook=11_01.xlsx&amp;sheet=A0&amp;row=117&amp;col=24&amp;number=&amp;sourceID=30","")</f>
        <v/>
      </c>
      <c r="Y117" s="4" t="str">
        <f>HYPERLINK("http://141.218.60.56/~jnz1568/getInfo.php?workbook=11_01.xlsx&amp;sheet=A0&amp;row=117&amp;col=25&amp;number=1e-15&amp;sourceID=30","1e-15")</f>
        <v>1e-15</v>
      </c>
      <c r="Z117" s="4" t="str">
        <f>HYPERLINK("http://141.218.60.56/~jnz1568/getInfo.php?workbook=11_01.xlsx&amp;sheet=A0&amp;row=117&amp;col=26&amp;number==SUM(AA117:AE117)&amp;sourceID=13","=SUM(AA117:AE117)")</f>
        <v>=SUM(AA117:AE117)</v>
      </c>
      <c r="AA117" s="4" t="str">
        <f>HYPERLINK("http://141.218.60.56/~jnz1568/getInfo.php?workbook=11_01.xlsx&amp;sheet=A0&amp;row=117&amp;col=27&amp;number=2.49&amp;sourceID=13","2.49")</f>
        <v>2.49</v>
      </c>
      <c r="AB117" s="4" t="str">
        <f>HYPERLINK("http://141.218.60.56/~jnz1568/getInfo.php?workbook=11_01.xlsx&amp;sheet=A0&amp;row=117&amp;col=28&amp;number=&amp;sourceID=13","")</f>
        <v/>
      </c>
      <c r="AC117" s="4" t="str">
        <f>HYPERLINK("http://141.218.60.56/~jnz1568/getInfo.php?workbook=11_01.xlsx&amp;sheet=A0&amp;row=117&amp;col=29&amp;number=&amp;sourceID=13","")</f>
        <v/>
      </c>
      <c r="AD117" s="4" t="str">
        <f>HYPERLINK("http://141.218.60.56/~jnz1568/getInfo.php?workbook=11_01.xlsx&amp;sheet=A0&amp;row=117&amp;col=30&amp;number=&amp;sourceID=13","")</f>
        <v/>
      </c>
      <c r="AE117" s="4" t="str">
        <f>HYPERLINK("http://141.218.60.56/~jnz1568/getInfo.php?workbook=11_01.xlsx&amp;sheet=A0&amp;row=117&amp;col=31&amp;number=&amp;sourceID=13","")</f>
        <v/>
      </c>
    </row>
    <row r="118" spans="1:31">
      <c r="A118" s="3">
        <v>11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HYPERLINK("http://141.218.60.56/~jnz1568/getInfo.php?workbook=11_01.xlsx&amp;sheet=A0&amp;row=118&amp;col=6&amp;number=&amp;sourceID=18","")</f>
        <v/>
      </c>
      <c r="G118" s="4" t="str">
        <f>HYPERLINK("http://141.218.60.56/~jnz1568/getInfo.php?workbook=11_01.xlsx&amp;sheet=A0&amp;row=118&amp;col=7&amp;number==&amp;sourceID=11","=")</f>
        <v>=</v>
      </c>
      <c r="H118" s="4" t="str">
        <f>HYPERLINK("http://141.218.60.56/~jnz1568/getInfo.php?workbook=11_01.xlsx&amp;sheet=A0&amp;row=118&amp;col=8&amp;number=502370000000&amp;sourceID=11","502370000000")</f>
        <v>502370000000</v>
      </c>
      <c r="I118" s="4" t="str">
        <f>HYPERLINK("http://141.218.60.56/~jnz1568/getInfo.php?workbook=11_01.xlsx&amp;sheet=A0&amp;row=118&amp;col=9&amp;number=&amp;sourceID=11","")</f>
        <v/>
      </c>
      <c r="J118" s="4" t="str">
        <f>HYPERLINK("http://141.218.60.56/~jnz1568/getInfo.php?workbook=11_01.xlsx&amp;sheet=A0&amp;row=118&amp;col=10&amp;number=&amp;sourceID=11","")</f>
        <v/>
      </c>
      <c r="K118" s="4" t="str">
        <f>HYPERLINK("http://141.218.60.56/~jnz1568/getInfo.php?workbook=11_01.xlsx&amp;sheet=A0&amp;row=118&amp;col=11&amp;number=&amp;sourceID=11","")</f>
        <v/>
      </c>
      <c r="L118" s="4" t="str">
        <f>HYPERLINK("http://141.218.60.56/~jnz1568/getInfo.php?workbook=11_01.xlsx&amp;sheet=A0&amp;row=118&amp;col=12&amp;number=&amp;sourceID=11","")</f>
        <v/>
      </c>
      <c r="M118" s="4" t="str">
        <f>HYPERLINK("http://141.218.60.56/~jnz1568/getInfo.php?workbook=11_01.xlsx&amp;sheet=A0&amp;row=118&amp;col=13&amp;number=&amp;sourceID=11","")</f>
        <v/>
      </c>
      <c r="N118" s="4" t="str">
        <f>HYPERLINK("http://141.218.60.56/~jnz1568/getInfo.php?workbook=11_01.xlsx&amp;sheet=A0&amp;row=118&amp;col=14&amp;number=502380000000&amp;sourceID=12","502380000000")</f>
        <v>502380000000</v>
      </c>
      <c r="O118" s="4" t="str">
        <f>HYPERLINK("http://141.218.60.56/~jnz1568/getInfo.php?workbook=11_01.xlsx&amp;sheet=A0&amp;row=118&amp;col=15&amp;number=502380000000&amp;sourceID=12","502380000000")</f>
        <v>502380000000</v>
      </c>
      <c r="P118" s="4" t="str">
        <f>HYPERLINK("http://141.218.60.56/~jnz1568/getInfo.php?workbook=11_01.xlsx&amp;sheet=A0&amp;row=118&amp;col=16&amp;number=&amp;sourceID=12","")</f>
        <v/>
      </c>
      <c r="Q118" s="4" t="str">
        <f>HYPERLINK("http://141.218.60.56/~jnz1568/getInfo.php?workbook=11_01.xlsx&amp;sheet=A0&amp;row=118&amp;col=17&amp;number=&amp;sourceID=12","")</f>
        <v/>
      </c>
      <c r="R118" s="4" t="str">
        <f>HYPERLINK("http://141.218.60.56/~jnz1568/getInfo.php?workbook=11_01.xlsx&amp;sheet=A0&amp;row=118&amp;col=18&amp;number=&amp;sourceID=12","")</f>
        <v/>
      </c>
      <c r="S118" s="4" t="str">
        <f>HYPERLINK("http://141.218.60.56/~jnz1568/getInfo.php?workbook=11_01.xlsx&amp;sheet=A0&amp;row=118&amp;col=19&amp;number=&amp;sourceID=12","")</f>
        <v/>
      </c>
      <c r="T118" s="4" t="str">
        <f>HYPERLINK("http://141.218.60.56/~jnz1568/getInfo.php?workbook=11_01.xlsx&amp;sheet=A0&amp;row=118&amp;col=20&amp;number=&amp;sourceID=12","")</f>
        <v/>
      </c>
      <c r="U118" s="4" t="str">
        <f>HYPERLINK("http://141.218.60.56/~jnz1568/getInfo.php?workbook=11_01.xlsx&amp;sheet=A0&amp;row=118&amp;col=21&amp;number=502400000000&amp;sourceID=30","502400000000")</f>
        <v>502400000000</v>
      </c>
      <c r="V118" s="4" t="str">
        <f>HYPERLINK("http://141.218.60.56/~jnz1568/getInfo.php?workbook=11_01.xlsx&amp;sheet=A0&amp;row=118&amp;col=22&amp;number=502400000000&amp;sourceID=30","502400000000")</f>
        <v>502400000000</v>
      </c>
      <c r="W118" s="4" t="str">
        <f>HYPERLINK("http://141.218.60.56/~jnz1568/getInfo.php?workbook=11_01.xlsx&amp;sheet=A0&amp;row=118&amp;col=23&amp;number=&amp;sourceID=30","")</f>
        <v/>
      </c>
      <c r="X118" s="4" t="str">
        <f>HYPERLINK("http://141.218.60.56/~jnz1568/getInfo.php?workbook=11_01.xlsx&amp;sheet=A0&amp;row=118&amp;col=24&amp;number=&amp;sourceID=30","")</f>
        <v/>
      </c>
      <c r="Y118" s="4" t="str">
        <f>HYPERLINK("http://141.218.60.56/~jnz1568/getInfo.php?workbook=11_01.xlsx&amp;sheet=A0&amp;row=118&amp;col=25&amp;number=&amp;sourceID=30","")</f>
        <v/>
      </c>
      <c r="Z118" s="4" t="str">
        <f>HYPERLINK("http://141.218.60.56/~jnz1568/getInfo.php?workbook=11_01.xlsx&amp;sheet=A0&amp;row=118&amp;col=26&amp;number=&amp;sourceID=13","")</f>
        <v/>
      </c>
      <c r="AA118" s="4" t="str">
        <f>HYPERLINK("http://141.218.60.56/~jnz1568/getInfo.php?workbook=11_01.xlsx&amp;sheet=A0&amp;row=118&amp;col=27&amp;number=&amp;sourceID=13","")</f>
        <v/>
      </c>
      <c r="AB118" s="4" t="str">
        <f>HYPERLINK("http://141.218.60.56/~jnz1568/getInfo.php?workbook=11_01.xlsx&amp;sheet=A0&amp;row=118&amp;col=28&amp;number=&amp;sourceID=13","")</f>
        <v/>
      </c>
      <c r="AC118" s="4" t="str">
        <f>HYPERLINK("http://141.218.60.56/~jnz1568/getInfo.php?workbook=11_01.xlsx&amp;sheet=A0&amp;row=118&amp;col=29&amp;number=&amp;sourceID=13","")</f>
        <v/>
      </c>
      <c r="AD118" s="4" t="str">
        <f>HYPERLINK("http://141.218.60.56/~jnz1568/getInfo.php?workbook=11_01.xlsx&amp;sheet=A0&amp;row=118&amp;col=30&amp;number=&amp;sourceID=13","")</f>
        <v/>
      </c>
      <c r="AE118" s="4" t="str">
        <f>HYPERLINK("http://141.218.60.56/~jnz1568/getInfo.php?workbook=11_01.xlsx&amp;sheet=A0&amp;row=118&amp;col=31&amp;number=&amp;sourceID=13","")</f>
        <v/>
      </c>
    </row>
    <row r="119" spans="1:31">
      <c r="A119" s="3">
        <v>11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HYPERLINK("http://141.218.60.56/~jnz1568/getInfo.php?workbook=11_01.xlsx&amp;sheet=A0&amp;row=119&amp;col=6&amp;number=&amp;sourceID=18","")</f>
        <v/>
      </c>
      <c r="G119" s="4" t="str">
        <f>HYPERLINK("http://141.218.60.56/~jnz1568/getInfo.php?workbook=11_01.xlsx&amp;sheet=A0&amp;row=119&amp;col=7&amp;number==&amp;sourceID=11","=")</f>
        <v>=</v>
      </c>
      <c r="H119" s="4" t="str">
        <f>HYPERLINK("http://141.218.60.56/~jnz1568/getInfo.php?workbook=11_01.xlsx&amp;sheet=A0&amp;row=119&amp;col=8&amp;number=&amp;sourceID=11","")</f>
        <v/>
      </c>
      <c r="I119" s="4" t="str">
        <f>HYPERLINK("http://141.218.60.56/~jnz1568/getInfo.php?workbook=11_01.xlsx&amp;sheet=A0&amp;row=119&amp;col=9&amp;number=&amp;sourceID=11","")</f>
        <v/>
      </c>
      <c r="J119" s="4" t="str">
        <f>HYPERLINK("http://141.218.60.56/~jnz1568/getInfo.php?workbook=11_01.xlsx&amp;sheet=A0&amp;row=119&amp;col=10&amp;number=&amp;sourceID=11","")</f>
        <v/>
      </c>
      <c r="K119" s="4" t="str">
        <f>HYPERLINK("http://141.218.60.56/~jnz1568/getInfo.php?workbook=11_01.xlsx&amp;sheet=A0&amp;row=119&amp;col=11&amp;number=6.4728&amp;sourceID=11","6.4728")</f>
        <v>6.4728</v>
      </c>
      <c r="L119" s="4" t="str">
        <f>HYPERLINK("http://141.218.60.56/~jnz1568/getInfo.php?workbook=11_01.xlsx&amp;sheet=A0&amp;row=119&amp;col=12&amp;number=&amp;sourceID=11","")</f>
        <v/>
      </c>
      <c r="M119" s="4" t="str">
        <f>HYPERLINK("http://141.218.60.56/~jnz1568/getInfo.php?workbook=11_01.xlsx&amp;sheet=A0&amp;row=119&amp;col=13&amp;number=&amp;sourceID=11","")</f>
        <v/>
      </c>
      <c r="N119" s="4" t="str">
        <f>HYPERLINK("http://141.218.60.56/~jnz1568/getInfo.php?workbook=11_01.xlsx&amp;sheet=A0&amp;row=119&amp;col=14&amp;number=6.4736&amp;sourceID=12","6.4736")</f>
        <v>6.4736</v>
      </c>
      <c r="O119" s="4" t="str">
        <f>HYPERLINK("http://141.218.60.56/~jnz1568/getInfo.php?workbook=11_01.xlsx&amp;sheet=A0&amp;row=119&amp;col=15&amp;number=&amp;sourceID=12","")</f>
        <v/>
      </c>
      <c r="P119" s="4" t="str">
        <f>HYPERLINK("http://141.218.60.56/~jnz1568/getInfo.php?workbook=11_01.xlsx&amp;sheet=A0&amp;row=119&amp;col=16&amp;number=&amp;sourceID=12","")</f>
        <v/>
      </c>
      <c r="Q119" s="4" t="str">
        <f>HYPERLINK("http://141.218.60.56/~jnz1568/getInfo.php?workbook=11_01.xlsx&amp;sheet=A0&amp;row=119&amp;col=17&amp;number=&amp;sourceID=12","")</f>
        <v/>
      </c>
      <c r="R119" s="4" t="str">
        <f>HYPERLINK("http://141.218.60.56/~jnz1568/getInfo.php?workbook=11_01.xlsx&amp;sheet=A0&amp;row=119&amp;col=18&amp;number=6.4736&amp;sourceID=12","6.4736")</f>
        <v>6.4736</v>
      </c>
      <c r="S119" s="4" t="str">
        <f>HYPERLINK("http://141.218.60.56/~jnz1568/getInfo.php?workbook=11_01.xlsx&amp;sheet=A0&amp;row=119&amp;col=19&amp;number=&amp;sourceID=12","")</f>
        <v/>
      </c>
      <c r="T119" s="4" t="str">
        <f>HYPERLINK("http://141.218.60.56/~jnz1568/getInfo.php?workbook=11_01.xlsx&amp;sheet=A0&amp;row=119&amp;col=20&amp;number=&amp;sourceID=12","")</f>
        <v/>
      </c>
      <c r="U119" s="4" t="str">
        <f>HYPERLINK("http://141.218.60.56/~jnz1568/getInfo.php?workbook=11_01.xlsx&amp;sheet=A0&amp;row=119&amp;col=21&amp;number=6.474&amp;sourceID=30","6.474")</f>
        <v>6.474</v>
      </c>
      <c r="V119" s="4" t="str">
        <f>HYPERLINK("http://141.218.60.56/~jnz1568/getInfo.php?workbook=11_01.xlsx&amp;sheet=A0&amp;row=119&amp;col=22&amp;number=&amp;sourceID=30","")</f>
        <v/>
      </c>
      <c r="W119" s="4" t="str">
        <f>HYPERLINK("http://141.218.60.56/~jnz1568/getInfo.php?workbook=11_01.xlsx&amp;sheet=A0&amp;row=119&amp;col=23&amp;number=&amp;sourceID=30","")</f>
        <v/>
      </c>
      <c r="X119" s="4" t="str">
        <f>HYPERLINK("http://141.218.60.56/~jnz1568/getInfo.php?workbook=11_01.xlsx&amp;sheet=A0&amp;row=119&amp;col=24&amp;number=6.474&amp;sourceID=30","6.474")</f>
        <v>6.474</v>
      </c>
      <c r="Y119" s="4" t="str">
        <f>HYPERLINK("http://141.218.60.56/~jnz1568/getInfo.php?workbook=11_01.xlsx&amp;sheet=A0&amp;row=119&amp;col=25&amp;number=&amp;sourceID=30","")</f>
        <v/>
      </c>
      <c r="Z119" s="4" t="str">
        <f>HYPERLINK("http://141.218.60.56/~jnz1568/getInfo.php?workbook=11_01.xlsx&amp;sheet=A0&amp;row=119&amp;col=26&amp;number=&amp;sourceID=13","")</f>
        <v/>
      </c>
      <c r="AA119" s="4" t="str">
        <f>HYPERLINK("http://141.218.60.56/~jnz1568/getInfo.php?workbook=11_01.xlsx&amp;sheet=A0&amp;row=119&amp;col=27&amp;number=&amp;sourceID=13","")</f>
        <v/>
      </c>
      <c r="AB119" s="4" t="str">
        <f>HYPERLINK("http://141.218.60.56/~jnz1568/getInfo.php?workbook=11_01.xlsx&amp;sheet=A0&amp;row=119&amp;col=28&amp;number=&amp;sourceID=13","")</f>
        <v/>
      </c>
      <c r="AC119" s="4" t="str">
        <f>HYPERLINK("http://141.218.60.56/~jnz1568/getInfo.php?workbook=11_01.xlsx&amp;sheet=A0&amp;row=119&amp;col=29&amp;number=&amp;sourceID=13","")</f>
        <v/>
      </c>
      <c r="AD119" s="4" t="str">
        <f>HYPERLINK("http://141.218.60.56/~jnz1568/getInfo.php?workbook=11_01.xlsx&amp;sheet=A0&amp;row=119&amp;col=30&amp;number=&amp;sourceID=13","")</f>
        <v/>
      </c>
      <c r="AE119" s="4" t="str">
        <f>HYPERLINK("http://141.218.60.56/~jnz1568/getInfo.php?workbook=11_01.xlsx&amp;sheet=A0&amp;row=119&amp;col=31&amp;number=&amp;sourceID=13","")</f>
        <v/>
      </c>
    </row>
    <row r="120" spans="1:31">
      <c r="A120" s="3">
        <v>11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HYPERLINK("http://141.218.60.56/~jnz1568/getInfo.php?workbook=11_01.xlsx&amp;sheet=A0&amp;row=120&amp;col=6&amp;number=&amp;sourceID=18","")</f>
        <v/>
      </c>
      <c r="G120" s="4" t="str">
        <f>HYPERLINK("http://141.218.60.56/~jnz1568/getInfo.php?workbook=11_01.xlsx&amp;sheet=A0&amp;row=120&amp;col=7&amp;number==&amp;sourceID=11","=")</f>
        <v>=</v>
      </c>
      <c r="H120" s="4" t="str">
        <f>HYPERLINK("http://141.218.60.56/~jnz1568/getInfo.php?workbook=11_01.xlsx&amp;sheet=A0&amp;row=120&amp;col=8&amp;number=72705000000&amp;sourceID=11","72705000000")</f>
        <v>72705000000</v>
      </c>
      <c r="I120" s="4" t="str">
        <f>HYPERLINK("http://141.218.60.56/~jnz1568/getInfo.php?workbook=11_01.xlsx&amp;sheet=A0&amp;row=120&amp;col=9&amp;number=&amp;sourceID=11","")</f>
        <v/>
      </c>
      <c r="J120" s="4" t="str">
        <f>HYPERLINK("http://141.218.60.56/~jnz1568/getInfo.php?workbook=11_01.xlsx&amp;sheet=A0&amp;row=120&amp;col=10&amp;number=&amp;sourceID=11","")</f>
        <v/>
      </c>
      <c r="K120" s="4" t="str">
        <f>HYPERLINK("http://141.218.60.56/~jnz1568/getInfo.php?workbook=11_01.xlsx&amp;sheet=A0&amp;row=120&amp;col=11&amp;number=&amp;sourceID=11","")</f>
        <v/>
      </c>
      <c r="L120" s="4" t="str">
        <f>HYPERLINK("http://141.218.60.56/~jnz1568/getInfo.php?workbook=11_01.xlsx&amp;sheet=A0&amp;row=120&amp;col=12&amp;number=&amp;sourceID=11","")</f>
        <v/>
      </c>
      <c r="M120" s="4" t="str">
        <f>HYPERLINK("http://141.218.60.56/~jnz1568/getInfo.php?workbook=11_01.xlsx&amp;sheet=A0&amp;row=120&amp;col=13&amp;number=&amp;sourceID=11","")</f>
        <v/>
      </c>
      <c r="N120" s="4" t="str">
        <f>HYPERLINK("http://141.218.60.56/~jnz1568/getInfo.php?workbook=11_01.xlsx&amp;sheet=A0&amp;row=120&amp;col=14&amp;number=72707000000&amp;sourceID=12","72707000000")</f>
        <v>72707000000</v>
      </c>
      <c r="O120" s="4" t="str">
        <f>HYPERLINK("http://141.218.60.56/~jnz1568/getInfo.php?workbook=11_01.xlsx&amp;sheet=A0&amp;row=120&amp;col=15&amp;number=72707000000&amp;sourceID=12","72707000000")</f>
        <v>72707000000</v>
      </c>
      <c r="P120" s="4" t="str">
        <f>HYPERLINK("http://141.218.60.56/~jnz1568/getInfo.php?workbook=11_01.xlsx&amp;sheet=A0&amp;row=120&amp;col=16&amp;number=&amp;sourceID=12","")</f>
        <v/>
      </c>
      <c r="Q120" s="4" t="str">
        <f>HYPERLINK("http://141.218.60.56/~jnz1568/getInfo.php?workbook=11_01.xlsx&amp;sheet=A0&amp;row=120&amp;col=17&amp;number=&amp;sourceID=12","")</f>
        <v/>
      </c>
      <c r="R120" s="4" t="str">
        <f>HYPERLINK("http://141.218.60.56/~jnz1568/getInfo.php?workbook=11_01.xlsx&amp;sheet=A0&amp;row=120&amp;col=18&amp;number=&amp;sourceID=12","")</f>
        <v/>
      </c>
      <c r="S120" s="4" t="str">
        <f>HYPERLINK("http://141.218.60.56/~jnz1568/getInfo.php?workbook=11_01.xlsx&amp;sheet=A0&amp;row=120&amp;col=19&amp;number=&amp;sourceID=12","")</f>
        <v/>
      </c>
      <c r="T120" s="4" t="str">
        <f>HYPERLINK("http://141.218.60.56/~jnz1568/getInfo.php?workbook=11_01.xlsx&amp;sheet=A0&amp;row=120&amp;col=20&amp;number=&amp;sourceID=12","")</f>
        <v/>
      </c>
      <c r="U120" s="4" t="str">
        <f>HYPERLINK("http://141.218.60.56/~jnz1568/getInfo.php?workbook=11_01.xlsx&amp;sheet=A0&amp;row=120&amp;col=21&amp;number=72710000000&amp;sourceID=30","72710000000")</f>
        <v>72710000000</v>
      </c>
      <c r="V120" s="4" t="str">
        <f>HYPERLINK("http://141.218.60.56/~jnz1568/getInfo.php?workbook=11_01.xlsx&amp;sheet=A0&amp;row=120&amp;col=22&amp;number=72710000000&amp;sourceID=30","72710000000")</f>
        <v>72710000000</v>
      </c>
      <c r="W120" s="4" t="str">
        <f>HYPERLINK("http://141.218.60.56/~jnz1568/getInfo.php?workbook=11_01.xlsx&amp;sheet=A0&amp;row=120&amp;col=23&amp;number=&amp;sourceID=30","")</f>
        <v/>
      </c>
      <c r="X120" s="4" t="str">
        <f>HYPERLINK("http://141.218.60.56/~jnz1568/getInfo.php?workbook=11_01.xlsx&amp;sheet=A0&amp;row=120&amp;col=24&amp;number=&amp;sourceID=30","")</f>
        <v/>
      </c>
      <c r="Y120" s="4" t="str">
        <f>HYPERLINK("http://141.218.60.56/~jnz1568/getInfo.php?workbook=11_01.xlsx&amp;sheet=A0&amp;row=120&amp;col=25&amp;number=&amp;sourceID=30","")</f>
        <v/>
      </c>
      <c r="Z120" s="4" t="str">
        <f>HYPERLINK("http://141.218.60.56/~jnz1568/getInfo.php?workbook=11_01.xlsx&amp;sheet=A0&amp;row=120&amp;col=26&amp;number=&amp;sourceID=13","")</f>
        <v/>
      </c>
      <c r="AA120" s="4" t="str">
        <f>HYPERLINK("http://141.218.60.56/~jnz1568/getInfo.php?workbook=11_01.xlsx&amp;sheet=A0&amp;row=120&amp;col=27&amp;number=&amp;sourceID=13","")</f>
        <v/>
      </c>
      <c r="AB120" s="4" t="str">
        <f>HYPERLINK("http://141.218.60.56/~jnz1568/getInfo.php?workbook=11_01.xlsx&amp;sheet=A0&amp;row=120&amp;col=28&amp;number=&amp;sourceID=13","")</f>
        <v/>
      </c>
      <c r="AC120" s="4" t="str">
        <f>HYPERLINK("http://141.218.60.56/~jnz1568/getInfo.php?workbook=11_01.xlsx&amp;sheet=A0&amp;row=120&amp;col=29&amp;number=&amp;sourceID=13","")</f>
        <v/>
      </c>
      <c r="AD120" s="4" t="str">
        <f>HYPERLINK("http://141.218.60.56/~jnz1568/getInfo.php?workbook=11_01.xlsx&amp;sheet=A0&amp;row=120&amp;col=30&amp;number=&amp;sourceID=13","")</f>
        <v/>
      </c>
      <c r="AE120" s="4" t="str">
        <f>HYPERLINK("http://141.218.60.56/~jnz1568/getInfo.php?workbook=11_01.xlsx&amp;sheet=A0&amp;row=120&amp;col=31&amp;number=&amp;sourceID=13","")</f>
        <v/>
      </c>
    </row>
    <row r="121" spans="1:31">
      <c r="A121" s="3">
        <v>11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HYPERLINK("http://141.218.60.56/~jnz1568/getInfo.php?workbook=11_01.xlsx&amp;sheet=A0&amp;row=121&amp;col=6&amp;number=&amp;sourceID=18","")</f>
        <v/>
      </c>
      <c r="G121" s="4" t="str">
        <f>HYPERLINK("http://141.218.60.56/~jnz1568/getInfo.php?workbook=11_01.xlsx&amp;sheet=A0&amp;row=121&amp;col=7&amp;number==&amp;sourceID=11","=")</f>
        <v>=</v>
      </c>
      <c r="H121" s="4" t="str">
        <f>HYPERLINK("http://141.218.60.56/~jnz1568/getInfo.php?workbook=11_01.xlsx&amp;sheet=A0&amp;row=121&amp;col=8&amp;number=&amp;sourceID=11","")</f>
        <v/>
      </c>
      <c r="I121" s="4" t="str">
        <f>HYPERLINK("http://141.218.60.56/~jnz1568/getInfo.php?workbook=11_01.xlsx&amp;sheet=A0&amp;row=121&amp;col=9&amp;number=9301500&amp;sourceID=11","9301500")</f>
        <v>9301500</v>
      </c>
      <c r="J121" s="4" t="str">
        <f>HYPERLINK("http://141.218.60.56/~jnz1568/getInfo.php?workbook=11_01.xlsx&amp;sheet=A0&amp;row=121&amp;col=10&amp;number=&amp;sourceID=11","")</f>
        <v/>
      </c>
      <c r="K121" s="4" t="str">
        <f>HYPERLINK("http://141.218.60.56/~jnz1568/getInfo.php?workbook=11_01.xlsx&amp;sheet=A0&amp;row=121&amp;col=11&amp;number=113.49&amp;sourceID=11","113.49")</f>
        <v>113.49</v>
      </c>
      <c r="L121" s="4" t="str">
        <f>HYPERLINK("http://141.218.60.56/~jnz1568/getInfo.php?workbook=11_01.xlsx&amp;sheet=A0&amp;row=121&amp;col=12&amp;number=&amp;sourceID=11","")</f>
        <v/>
      </c>
      <c r="M121" s="4" t="str">
        <f>HYPERLINK("http://141.218.60.56/~jnz1568/getInfo.php?workbook=11_01.xlsx&amp;sheet=A0&amp;row=121&amp;col=13&amp;number=&amp;sourceID=11","")</f>
        <v/>
      </c>
      <c r="N121" s="4" t="str">
        <f>HYPERLINK("http://141.218.60.56/~jnz1568/getInfo.php?workbook=11_01.xlsx&amp;sheet=A0&amp;row=121&amp;col=14&amp;number=9301800&amp;sourceID=12","9301800")</f>
        <v>9301800</v>
      </c>
      <c r="O121" s="4" t="str">
        <f>HYPERLINK("http://141.218.60.56/~jnz1568/getInfo.php?workbook=11_01.xlsx&amp;sheet=A0&amp;row=121&amp;col=15&amp;number=&amp;sourceID=12","")</f>
        <v/>
      </c>
      <c r="P121" s="4" t="str">
        <f>HYPERLINK("http://141.218.60.56/~jnz1568/getInfo.php?workbook=11_01.xlsx&amp;sheet=A0&amp;row=121&amp;col=16&amp;number=9301700&amp;sourceID=12","9301700")</f>
        <v>9301700</v>
      </c>
      <c r="Q121" s="4" t="str">
        <f>HYPERLINK("http://141.218.60.56/~jnz1568/getInfo.php?workbook=11_01.xlsx&amp;sheet=A0&amp;row=121&amp;col=17&amp;number=&amp;sourceID=12","")</f>
        <v/>
      </c>
      <c r="R121" s="4" t="str">
        <f>HYPERLINK("http://141.218.60.56/~jnz1568/getInfo.php?workbook=11_01.xlsx&amp;sheet=A0&amp;row=121&amp;col=18&amp;number=113.49&amp;sourceID=12","113.49")</f>
        <v>113.49</v>
      </c>
      <c r="S121" s="4" t="str">
        <f>HYPERLINK("http://141.218.60.56/~jnz1568/getInfo.php?workbook=11_01.xlsx&amp;sheet=A0&amp;row=121&amp;col=19&amp;number=&amp;sourceID=12","")</f>
        <v/>
      </c>
      <c r="T121" s="4" t="str">
        <f>HYPERLINK("http://141.218.60.56/~jnz1568/getInfo.php?workbook=11_01.xlsx&amp;sheet=A0&amp;row=121&amp;col=20&amp;number=&amp;sourceID=12","")</f>
        <v/>
      </c>
      <c r="U121" s="4" t="str">
        <f>HYPERLINK("http://141.218.60.56/~jnz1568/getInfo.php?workbook=11_01.xlsx&amp;sheet=A0&amp;row=121&amp;col=21&amp;number=9302113.5&amp;sourceID=30","9302113.5")</f>
        <v>9302113.5</v>
      </c>
      <c r="V121" s="4" t="str">
        <f>HYPERLINK("http://141.218.60.56/~jnz1568/getInfo.php?workbook=11_01.xlsx&amp;sheet=A0&amp;row=121&amp;col=22&amp;number=&amp;sourceID=30","")</f>
        <v/>
      </c>
      <c r="W121" s="4" t="str">
        <f>HYPERLINK("http://141.218.60.56/~jnz1568/getInfo.php?workbook=11_01.xlsx&amp;sheet=A0&amp;row=121&amp;col=23&amp;number=9302000&amp;sourceID=30","9302000")</f>
        <v>9302000</v>
      </c>
      <c r="X121" s="4" t="str">
        <f>HYPERLINK("http://141.218.60.56/~jnz1568/getInfo.php?workbook=11_01.xlsx&amp;sheet=A0&amp;row=121&amp;col=24&amp;number=113.5&amp;sourceID=30","113.5")</f>
        <v>113.5</v>
      </c>
      <c r="Y121" s="4" t="str">
        <f>HYPERLINK("http://141.218.60.56/~jnz1568/getInfo.php?workbook=11_01.xlsx&amp;sheet=A0&amp;row=121&amp;col=25&amp;number=&amp;sourceID=30","")</f>
        <v/>
      </c>
      <c r="Z121" s="4" t="str">
        <f>HYPERLINK("http://141.218.60.56/~jnz1568/getInfo.php?workbook=11_01.xlsx&amp;sheet=A0&amp;row=121&amp;col=26&amp;number=&amp;sourceID=13","")</f>
        <v/>
      </c>
      <c r="AA121" s="4" t="str">
        <f>HYPERLINK("http://141.218.60.56/~jnz1568/getInfo.php?workbook=11_01.xlsx&amp;sheet=A0&amp;row=121&amp;col=27&amp;number=&amp;sourceID=13","")</f>
        <v/>
      </c>
      <c r="AB121" s="4" t="str">
        <f>HYPERLINK("http://141.218.60.56/~jnz1568/getInfo.php?workbook=11_01.xlsx&amp;sheet=A0&amp;row=121&amp;col=28&amp;number=&amp;sourceID=13","")</f>
        <v/>
      </c>
      <c r="AC121" s="4" t="str">
        <f>HYPERLINK("http://141.218.60.56/~jnz1568/getInfo.php?workbook=11_01.xlsx&amp;sheet=A0&amp;row=121&amp;col=29&amp;number=&amp;sourceID=13","")</f>
        <v/>
      </c>
      <c r="AD121" s="4" t="str">
        <f>HYPERLINK("http://141.218.60.56/~jnz1568/getInfo.php?workbook=11_01.xlsx&amp;sheet=A0&amp;row=121&amp;col=30&amp;number=&amp;sourceID=13","")</f>
        <v/>
      </c>
      <c r="AE121" s="4" t="str">
        <f>HYPERLINK("http://141.218.60.56/~jnz1568/getInfo.php?workbook=11_01.xlsx&amp;sheet=A0&amp;row=121&amp;col=31&amp;number=&amp;sourceID=13","")</f>
        <v/>
      </c>
    </row>
    <row r="122" spans="1:31">
      <c r="A122" s="3">
        <v>11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HYPERLINK("http://141.218.60.56/~jnz1568/getInfo.php?workbook=11_01.xlsx&amp;sheet=A0&amp;row=122&amp;col=6&amp;number=&amp;sourceID=18","")</f>
        <v/>
      </c>
      <c r="G122" s="4" t="str">
        <f>HYPERLINK("http://141.218.60.56/~jnz1568/getInfo.php?workbook=11_01.xlsx&amp;sheet=A0&amp;row=122&amp;col=7&amp;number==&amp;sourceID=11","=")</f>
        <v>=</v>
      </c>
      <c r="H122" s="4" t="str">
        <f>HYPERLINK("http://141.218.60.56/~jnz1568/getInfo.php?workbook=11_01.xlsx&amp;sheet=A0&amp;row=122&amp;col=8&amp;number=&amp;sourceID=11","")</f>
        <v/>
      </c>
      <c r="I122" s="4" t="str">
        <f>HYPERLINK("http://141.218.60.56/~jnz1568/getInfo.php?workbook=11_01.xlsx&amp;sheet=A0&amp;row=122&amp;col=9&amp;number=&amp;sourceID=11","")</f>
        <v/>
      </c>
      <c r="J122" s="4" t="str">
        <f>HYPERLINK("http://141.218.60.56/~jnz1568/getInfo.php?workbook=11_01.xlsx&amp;sheet=A0&amp;row=122&amp;col=10&amp;number=&amp;sourceID=11","")</f>
        <v/>
      </c>
      <c r="K122" s="4" t="str">
        <f>HYPERLINK("http://141.218.60.56/~jnz1568/getInfo.php?workbook=11_01.xlsx&amp;sheet=A0&amp;row=122&amp;col=11&amp;number=0.20091&amp;sourceID=11","0.20091")</f>
        <v>0.20091</v>
      </c>
      <c r="L122" s="4" t="str">
        <f>HYPERLINK("http://141.218.60.56/~jnz1568/getInfo.php?workbook=11_01.xlsx&amp;sheet=A0&amp;row=122&amp;col=12&amp;number=&amp;sourceID=11","")</f>
        <v/>
      </c>
      <c r="M122" s="4" t="str">
        <f>HYPERLINK("http://141.218.60.56/~jnz1568/getInfo.php?workbook=11_01.xlsx&amp;sheet=A0&amp;row=122&amp;col=13&amp;number=&amp;sourceID=11","")</f>
        <v/>
      </c>
      <c r="N122" s="4" t="str">
        <f>HYPERLINK("http://141.218.60.56/~jnz1568/getInfo.php?workbook=11_01.xlsx&amp;sheet=A0&amp;row=122&amp;col=14&amp;number=0.20091&amp;sourceID=12","0.20091")</f>
        <v>0.20091</v>
      </c>
      <c r="O122" s="4" t="str">
        <f>HYPERLINK("http://141.218.60.56/~jnz1568/getInfo.php?workbook=11_01.xlsx&amp;sheet=A0&amp;row=122&amp;col=15&amp;number=&amp;sourceID=12","")</f>
        <v/>
      </c>
      <c r="P122" s="4" t="str">
        <f>HYPERLINK("http://141.218.60.56/~jnz1568/getInfo.php?workbook=11_01.xlsx&amp;sheet=A0&amp;row=122&amp;col=16&amp;number=&amp;sourceID=12","")</f>
        <v/>
      </c>
      <c r="Q122" s="4" t="str">
        <f>HYPERLINK("http://141.218.60.56/~jnz1568/getInfo.php?workbook=11_01.xlsx&amp;sheet=A0&amp;row=122&amp;col=17&amp;number=&amp;sourceID=12","")</f>
        <v/>
      </c>
      <c r="R122" s="4" t="str">
        <f>HYPERLINK("http://141.218.60.56/~jnz1568/getInfo.php?workbook=11_01.xlsx&amp;sheet=A0&amp;row=122&amp;col=18&amp;number=0.20091&amp;sourceID=12","0.20091")</f>
        <v>0.20091</v>
      </c>
      <c r="S122" s="4" t="str">
        <f>HYPERLINK("http://141.218.60.56/~jnz1568/getInfo.php?workbook=11_01.xlsx&amp;sheet=A0&amp;row=122&amp;col=19&amp;number=&amp;sourceID=12","")</f>
        <v/>
      </c>
      <c r="T122" s="4" t="str">
        <f>HYPERLINK("http://141.218.60.56/~jnz1568/getInfo.php?workbook=11_01.xlsx&amp;sheet=A0&amp;row=122&amp;col=20&amp;number=&amp;sourceID=12","")</f>
        <v/>
      </c>
      <c r="U122" s="4" t="str">
        <f>HYPERLINK("http://141.218.60.56/~jnz1568/getInfo.php?workbook=11_01.xlsx&amp;sheet=A0&amp;row=122&amp;col=21&amp;number=0.2011&amp;sourceID=30","0.2011")</f>
        <v>0.2011</v>
      </c>
      <c r="V122" s="4" t="str">
        <f>HYPERLINK("http://141.218.60.56/~jnz1568/getInfo.php?workbook=11_01.xlsx&amp;sheet=A0&amp;row=122&amp;col=22&amp;number=&amp;sourceID=30","")</f>
        <v/>
      </c>
      <c r="W122" s="4" t="str">
        <f>HYPERLINK("http://141.218.60.56/~jnz1568/getInfo.php?workbook=11_01.xlsx&amp;sheet=A0&amp;row=122&amp;col=23&amp;number=&amp;sourceID=30","")</f>
        <v/>
      </c>
      <c r="X122" s="4" t="str">
        <f>HYPERLINK("http://141.218.60.56/~jnz1568/getInfo.php?workbook=11_01.xlsx&amp;sheet=A0&amp;row=122&amp;col=24&amp;number=0.2011&amp;sourceID=30","0.2011")</f>
        <v>0.2011</v>
      </c>
      <c r="Y122" s="4" t="str">
        <f>HYPERLINK("http://141.218.60.56/~jnz1568/getInfo.php?workbook=11_01.xlsx&amp;sheet=A0&amp;row=122&amp;col=25&amp;number=&amp;sourceID=30","")</f>
        <v/>
      </c>
      <c r="Z122" s="4" t="str">
        <f>HYPERLINK("http://141.218.60.56/~jnz1568/getInfo.php?workbook=11_01.xlsx&amp;sheet=A0&amp;row=122&amp;col=26&amp;number=&amp;sourceID=13","")</f>
        <v/>
      </c>
      <c r="AA122" s="4" t="str">
        <f>HYPERLINK("http://141.218.60.56/~jnz1568/getInfo.php?workbook=11_01.xlsx&amp;sheet=A0&amp;row=122&amp;col=27&amp;number=&amp;sourceID=13","")</f>
        <v/>
      </c>
      <c r="AB122" s="4" t="str">
        <f>HYPERLINK("http://141.218.60.56/~jnz1568/getInfo.php?workbook=11_01.xlsx&amp;sheet=A0&amp;row=122&amp;col=28&amp;number=&amp;sourceID=13","")</f>
        <v/>
      </c>
      <c r="AC122" s="4" t="str">
        <f>HYPERLINK("http://141.218.60.56/~jnz1568/getInfo.php?workbook=11_01.xlsx&amp;sheet=A0&amp;row=122&amp;col=29&amp;number=&amp;sourceID=13","")</f>
        <v/>
      </c>
      <c r="AD122" s="4" t="str">
        <f>HYPERLINK("http://141.218.60.56/~jnz1568/getInfo.php?workbook=11_01.xlsx&amp;sheet=A0&amp;row=122&amp;col=30&amp;number=&amp;sourceID=13","")</f>
        <v/>
      </c>
      <c r="AE122" s="4" t="str">
        <f>HYPERLINK("http://141.218.60.56/~jnz1568/getInfo.php?workbook=11_01.xlsx&amp;sheet=A0&amp;row=122&amp;col=31&amp;number=&amp;sourceID=13","")</f>
        <v/>
      </c>
    </row>
    <row r="123" spans="1:31">
      <c r="A123" s="3">
        <v>11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HYPERLINK("http://141.218.60.56/~jnz1568/getInfo.php?workbook=11_01.xlsx&amp;sheet=A0&amp;row=123&amp;col=6&amp;number=&amp;sourceID=18","")</f>
        <v/>
      </c>
      <c r="G123" s="4" t="str">
        <f>HYPERLINK("http://141.218.60.56/~jnz1568/getInfo.php?workbook=11_01.xlsx&amp;sheet=A0&amp;row=123&amp;col=7&amp;number==&amp;sourceID=11","=")</f>
        <v>=</v>
      </c>
      <c r="H123" s="4" t="str">
        <f>HYPERLINK("http://141.218.60.56/~jnz1568/getInfo.php?workbook=11_01.xlsx&amp;sheet=A0&amp;row=123&amp;col=8&amp;number=24070000000&amp;sourceID=11","24070000000")</f>
        <v>24070000000</v>
      </c>
      <c r="I123" s="4" t="str">
        <f>HYPERLINK("http://141.218.60.56/~jnz1568/getInfo.php?workbook=11_01.xlsx&amp;sheet=A0&amp;row=123&amp;col=9&amp;number=&amp;sourceID=11","")</f>
        <v/>
      </c>
      <c r="J123" s="4" t="str">
        <f>HYPERLINK("http://141.218.60.56/~jnz1568/getInfo.php?workbook=11_01.xlsx&amp;sheet=A0&amp;row=123&amp;col=10&amp;number=&amp;sourceID=11","")</f>
        <v/>
      </c>
      <c r="K123" s="4" t="str">
        <f>HYPERLINK("http://141.218.60.56/~jnz1568/getInfo.php?workbook=11_01.xlsx&amp;sheet=A0&amp;row=123&amp;col=11&amp;number=&amp;sourceID=11","")</f>
        <v/>
      </c>
      <c r="L123" s="4" t="str">
        <f>HYPERLINK("http://141.218.60.56/~jnz1568/getInfo.php?workbook=11_01.xlsx&amp;sheet=A0&amp;row=123&amp;col=12&amp;number=&amp;sourceID=11","")</f>
        <v/>
      </c>
      <c r="M123" s="4" t="str">
        <f>HYPERLINK("http://141.218.60.56/~jnz1568/getInfo.php?workbook=11_01.xlsx&amp;sheet=A0&amp;row=123&amp;col=13&amp;number=&amp;sourceID=11","")</f>
        <v/>
      </c>
      <c r="N123" s="4" t="str">
        <f>HYPERLINK("http://141.218.60.56/~jnz1568/getInfo.php?workbook=11_01.xlsx&amp;sheet=A0&amp;row=123&amp;col=14&amp;number=24070000000&amp;sourceID=12","24070000000")</f>
        <v>24070000000</v>
      </c>
      <c r="O123" s="4" t="str">
        <f>HYPERLINK("http://141.218.60.56/~jnz1568/getInfo.php?workbook=11_01.xlsx&amp;sheet=A0&amp;row=123&amp;col=15&amp;number=24070000000&amp;sourceID=12","24070000000")</f>
        <v>24070000000</v>
      </c>
      <c r="P123" s="4" t="str">
        <f>HYPERLINK("http://141.218.60.56/~jnz1568/getInfo.php?workbook=11_01.xlsx&amp;sheet=A0&amp;row=123&amp;col=16&amp;number=&amp;sourceID=12","")</f>
        <v/>
      </c>
      <c r="Q123" s="4" t="str">
        <f>HYPERLINK("http://141.218.60.56/~jnz1568/getInfo.php?workbook=11_01.xlsx&amp;sheet=A0&amp;row=123&amp;col=17&amp;number=&amp;sourceID=12","")</f>
        <v/>
      </c>
      <c r="R123" s="4" t="str">
        <f>HYPERLINK("http://141.218.60.56/~jnz1568/getInfo.php?workbook=11_01.xlsx&amp;sheet=A0&amp;row=123&amp;col=18&amp;number=&amp;sourceID=12","")</f>
        <v/>
      </c>
      <c r="S123" s="4" t="str">
        <f>HYPERLINK("http://141.218.60.56/~jnz1568/getInfo.php?workbook=11_01.xlsx&amp;sheet=A0&amp;row=123&amp;col=19&amp;number=&amp;sourceID=12","")</f>
        <v/>
      </c>
      <c r="T123" s="4" t="str">
        <f>HYPERLINK("http://141.218.60.56/~jnz1568/getInfo.php?workbook=11_01.xlsx&amp;sheet=A0&amp;row=123&amp;col=20&amp;number=&amp;sourceID=12","")</f>
        <v/>
      </c>
      <c r="U123" s="4" t="str">
        <f>HYPERLINK("http://141.218.60.56/~jnz1568/getInfo.php?workbook=11_01.xlsx&amp;sheet=A0&amp;row=123&amp;col=21&amp;number=24070000000&amp;sourceID=30","24070000000")</f>
        <v>24070000000</v>
      </c>
      <c r="V123" s="4" t="str">
        <f>HYPERLINK("http://141.218.60.56/~jnz1568/getInfo.php?workbook=11_01.xlsx&amp;sheet=A0&amp;row=123&amp;col=22&amp;number=24070000000&amp;sourceID=30","24070000000")</f>
        <v>24070000000</v>
      </c>
      <c r="W123" s="4" t="str">
        <f>HYPERLINK("http://141.218.60.56/~jnz1568/getInfo.php?workbook=11_01.xlsx&amp;sheet=A0&amp;row=123&amp;col=23&amp;number=&amp;sourceID=30","")</f>
        <v/>
      </c>
      <c r="X123" s="4" t="str">
        <f>HYPERLINK("http://141.218.60.56/~jnz1568/getInfo.php?workbook=11_01.xlsx&amp;sheet=A0&amp;row=123&amp;col=24&amp;number=&amp;sourceID=30","")</f>
        <v/>
      </c>
      <c r="Y123" s="4" t="str">
        <f>HYPERLINK("http://141.218.60.56/~jnz1568/getInfo.php?workbook=11_01.xlsx&amp;sheet=A0&amp;row=123&amp;col=25&amp;number=&amp;sourceID=30","")</f>
        <v/>
      </c>
      <c r="Z123" s="4" t="str">
        <f>HYPERLINK("http://141.218.60.56/~jnz1568/getInfo.php?workbook=11_01.xlsx&amp;sheet=A0&amp;row=123&amp;col=26&amp;number=&amp;sourceID=13","")</f>
        <v/>
      </c>
      <c r="AA123" s="4" t="str">
        <f>HYPERLINK("http://141.218.60.56/~jnz1568/getInfo.php?workbook=11_01.xlsx&amp;sheet=A0&amp;row=123&amp;col=27&amp;number=&amp;sourceID=13","")</f>
        <v/>
      </c>
      <c r="AB123" s="4" t="str">
        <f>HYPERLINK("http://141.218.60.56/~jnz1568/getInfo.php?workbook=11_01.xlsx&amp;sheet=A0&amp;row=123&amp;col=28&amp;number=&amp;sourceID=13","")</f>
        <v/>
      </c>
      <c r="AC123" s="4" t="str">
        <f>HYPERLINK("http://141.218.60.56/~jnz1568/getInfo.php?workbook=11_01.xlsx&amp;sheet=A0&amp;row=123&amp;col=29&amp;number=&amp;sourceID=13","")</f>
        <v/>
      </c>
      <c r="AD123" s="4" t="str">
        <f>HYPERLINK("http://141.218.60.56/~jnz1568/getInfo.php?workbook=11_01.xlsx&amp;sheet=A0&amp;row=123&amp;col=30&amp;number=&amp;sourceID=13","")</f>
        <v/>
      </c>
      <c r="AE123" s="4" t="str">
        <f>HYPERLINK("http://141.218.60.56/~jnz1568/getInfo.php?workbook=11_01.xlsx&amp;sheet=A0&amp;row=123&amp;col=31&amp;number=&amp;sourceID=13","")</f>
        <v/>
      </c>
    </row>
    <row r="124" spans="1:31">
      <c r="A124" s="3">
        <v>11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HYPERLINK("http://141.218.60.56/~jnz1568/getInfo.php?workbook=11_01.xlsx&amp;sheet=A0&amp;row=124&amp;col=6&amp;number=&amp;sourceID=18","")</f>
        <v/>
      </c>
      <c r="G124" s="4" t="str">
        <f>HYPERLINK("http://141.218.60.56/~jnz1568/getInfo.php?workbook=11_01.xlsx&amp;sheet=A0&amp;row=124&amp;col=7&amp;number==&amp;sourceID=11","=")</f>
        <v>=</v>
      </c>
      <c r="H124" s="4" t="str">
        <f>HYPERLINK("http://141.218.60.56/~jnz1568/getInfo.php?workbook=11_01.xlsx&amp;sheet=A0&amp;row=124&amp;col=8&amp;number=2233300000&amp;sourceID=11","2233300000")</f>
        <v>2233300000</v>
      </c>
      <c r="I124" s="4" t="str">
        <f>HYPERLINK("http://141.218.60.56/~jnz1568/getInfo.php?workbook=11_01.xlsx&amp;sheet=A0&amp;row=124&amp;col=9&amp;number=&amp;sourceID=11","")</f>
        <v/>
      </c>
      <c r="J124" s="4" t="str">
        <f>HYPERLINK("http://141.218.60.56/~jnz1568/getInfo.php?workbook=11_01.xlsx&amp;sheet=A0&amp;row=124&amp;col=10&amp;number=&amp;sourceID=11","")</f>
        <v/>
      </c>
      <c r="K124" s="4" t="str">
        <f>HYPERLINK("http://141.218.60.56/~jnz1568/getInfo.php?workbook=11_01.xlsx&amp;sheet=A0&amp;row=124&amp;col=11&amp;number=&amp;sourceID=11","")</f>
        <v/>
      </c>
      <c r="L124" s="4" t="str">
        <f>HYPERLINK("http://141.218.60.56/~jnz1568/getInfo.php?workbook=11_01.xlsx&amp;sheet=A0&amp;row=124&amp;col=12&amp;number=0.8804&amp;sourceID=11","0.8804")</f>
        <v>0.8804</v>
      </c>
      <c r="M124" s="4" t="str">
        <f>HYPERLINK("http://141.218.60.56/~jnz1568/getInfo.php?workbook=11_01.xlsx&amp;sheet=A0&amp;row=124&amp;col=13&amp;number=&amp;sourceID=11","")</f>
        <v/>
      </c>
      <c r="N124" s="4" t="str">
        <f>HYPERLINK("http://141.218.60.56/~jnz1568/getInfo.php?workbook=11_01.xlsx&amp;sheet=A0&amp;row=124&amp;col=14&amp;number=2233300000&amp;sourceID=12","2233300000")</f>
        <v>2233300000</v>
      </c>
      <c r="O124" s="4" t="str">
        <f>HYPERLINK("http://141.218.60.56/~jnz1568/getInfo.php?workbook=11_01.xlsx&amp;sheet=A0&amp;row=124&amp;col=15&amp;number=2233300000&amp;sourceID=12","2233300000")</f>
        <v>2233300000</v>
      </c>
      <c r="P124" s="4" t="str">
        <f>HYPERLINK("http://141.218.60.56/~jnz1568/getInfo.php?workbook=11_01.xlsx&amp;sheet=A0&amp;row=124&amp;col=16&amp;number=&amp;sourceID=12","")</f>
        <v/>
      </c>
      <c r="Q124" s="4" t="str">
        <f>HYPERLINK("http://141.218.60.56/~jnz1568/getInfo.php?workbook=11_01.xlsx&amp;sheet=A0&amp;row=124&amp;col=17&amp;number=&amp;sourceID=12","")</f>
        <v/>
      </c>
      <c r="R124" s="4" t="str">
        <f>HYPERLINK("http://141.218.60.56/~jnz1568/getInfo.php?workbook=11_01.xlsx&amp;sheet=A0&amp;row=124&amp;col=18&amp;number=&amp;sourceID=12","")</f>
        <v/>
      </c>
      <c r="S124" s="4" t="str">
        <f>HYPERLINK("http://141.218.60.56/~jnz1568/getInfo.php?workbook=11_01.xlsx&amp;sheet=A0&amp;row=124&amp;col=19&amp;number=0.88042&amp;sourceID=12","0.88042")</f>
        <v>0.88042</v>
      </c>
      <c r="T124" s="4" t="str">
        <f>HYPERLINK("http://141.218.60.56/~jnz1568/getInfo.php?workbook=11_01.xlsx&amp;sheet=A0&amp;row=124&amp;col=20&amp;number=&amp;sourceID=12","")</f>
        <v/>
      </c>
      <c r="U124" s="4" t="str">
        <f>HYPERLINK("http://141.218.60.56/~jnz1568/getInfo.php?workbook=11_01.xlsx&amp;sheet=A0&amp;row=124&amp;col=21&amp;number=2233000000.88&amp;sourceID=30","2233000000.88")</f>
        <v>2233000000.88</v>
      </c>
      <c r="V124" s="4" t="str">
        <f>HYPERLINK("http://141.218.60.56/~jnz1568/getInfo.php?workbook=11_01.xlsx&amp;sheet=A0&amp;row=124&amp;col=22&amp;number=2233000000&amp;sourceID=30","2233000000")</f>
        <v>2233000000</v>
      </c>
      <c r="W124" s="4" t="str">
        <f>HYPERLINK("http://141.218.60.56/~jnz1568/getInfo.php?workbook=11_01.xlsx&amp;sheet=A0&amp;row=124&amp;col=23&amp;number=&amp;sourceID=30","")</f>
        <v/>
      </c>
      <c r="X124" s="4" t="str">
        <f>HYPERLINK("http://141.218.60.56/~jnz1568/getInfo.php?workbook=11_01.xlsx&amp;sheet=A0&amp;row=124&amp;col=24&amp;number=&amp;sourceID=30","")</f>
        <v/>
      </c>
      <c r="Y124" s="4" t="str">
        <f>HYPERLINK("http://141.218.60.56/~jnz1568/getInfo.php?workbook=11_01.xlsx&amp;sheet=A0&amp;row=124&amp;col=25&amp;number=0.8804&amp;sourceID=30","0.8804")</f>
        <v>0.8804</v>
      </c>
      <c r="Z124" s="4" t="str">
        <f>HYPERLINK("http://141.218.60.56/~jnz1568/getInfo.php?workbook=11_01.xlsx&amp;sheet=A0&amp;row=124&amp;col=26&amp;number=&amp;sourceID=13","")</f>
        <v/>
      </c>
      <c r="AA124" s="4" t="str">
        <f>HYPERLINK("http://141.218.60.56/~jnz1568/getInfo.php?workbook=11_01.xlsx&amp;sheet=A0&amp;row=124&amp;col=27&amp;number=&amp;sourceID=13","")</f>
        <v/>
      </c>
      <c r="AB124" s="4" t="str">
        <f>HYPERLINK("http://141.218.60.56/~jnz1568/getInfo.php?workbook=11_01.xlsx&amp;sheet=A0&amp;row=124&amp;col=28&amp;number=&amp;sourceID=13","")</f>
        <v/>
      </c>
      <c r="AC124" s="4" t="str">
        <f>HYPERLINK("http://141.218.60.56/~jnz1568/getInfo.php?workbook=11_01.xlsx&amp;sheet=A0&amp;row=124&amp;col=29&amp;number=&amp;sourceID=13","")</f>
        <v/>
      </c>
      <c r="AD124" s="4" t="str">
        <f>HYPERLINK("http://141.218.60.56/~jnz1568/getInfo.php?workbook=11_01.xlsx&amp;sheet=A0&amp;row=124&amp;col=30&amp;number=&amp;sourceID=13","")</f>
        <v/>
      </c>
      <c r="AE124" s="4" t="str">
        <f>HYPERLINK("http://141.218.60.56/~jnz1568/getInfo.php?workbook=11_01.xlsx&amp;sheet=A0&amp;row=124&amp;col=31&amp;number=&amp;sourceID=13","")</f>
        <v/>
      </c>
    </row>
    <row r="125" spans="1:31">
      <c r="A125" s="3">
        <v>11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HYPERLINK("http://141.218.60.56/~jnz1568/getInfo.php?workbook=11_01.xlsx&amp;sheet=A0&amp;row=125&amp;col=6&amp;number=&amp;sourceID=18","")</f>
        <v/>
      </c>
      <c r="G125" s="4" t="str">
        <f>HYPERLINK("http://141.218.60.56/~jnz1568/getInfo.php?workbook=11_01.xlsx&amp;sheet=A0&amp;row=125&amp;col=7&amp;number==&amp;sourceID=11","=")</f>
        <v>=</v>
      </c>
      <c r="H125" s="4" t="str">
        <f>HYPERLINK("http://141.218.60.56/~jnz1568/getInfo.php?workbook=11_01.xlsx&amp;sheet=A0&amp;row=125&amp;col=8&amp;number=&amp;sourceID=11","")</f>
        <v/>
      </c>
      <c r="I125" s="4" t="str">
        <f>HYPERLINK("http://141.218.60.56/~jnz1568/getInfo.php?workbook=11_01.xlsx&amp;sheet=A0&amp;row=125&amp;col=9&amp;number=2528200&amp;sourceID=11","2528200")</f>
        <v>2528200</v>
      </c>
      <c r="J125" s="4" t="str">
        <f>HYPERLINK("http://141.218.60.56/~jnz1568/getInfo.php?workbook=11_01.xlsx&amp;sheet=A0&amp;row=125&amp;col=10&amp;number=&amp;sourceID=11","")</f>
        <v/>
      </c>
      <c r="K125" s="4" t="str">
        <f>HYPERLINK("http://141.218.60.56/~jnz1568/getInfo.php?workbook=11_01.xlsx&amp;sheet=A0&amp;row=125&amp;col=11&amp;number=10.829&amp;sourceID=11","10.829")</f>
        <v>10.829</v>
      </c>
      <c r="L125" s="4" t="str">
        <f>HYPERLINK("http://141.218.60.56/~jnz1568/getInfo.php?workbook=11_01.xlsx&amp;sheet=A0&amp;row=125&amp;col=12&amp;number=&amp;sourceID=11","")</f>
        <v/>
      </c>
      <c r="M125" s="4" t="str">
        <f>HYPERLINK("http://141.218.60.56/~jnz1568/getInfo.php?workbook=11_01.xlsx&amp;sheet=A0&amp;row=125&amp;col=13&amp;number=&amp;sourceID=11","")</f>
        <v/>
      </c>
      <c r="N125" s="4" t="str">
        <f>HYPERLINK("http://141.218.60.56/~jnz1568/getInfo.php?workbook=11_01.xlsx&amp;sheet=A0&amp;row=125&amp;col=14&amp;number=2528300&amp;sourceID=12","2528300")</f>
        <v>2528300</v>
      </c>
      <c r="O125" s="4" t="str">
        <f>HYPERLINK("http://141.218.60.56/~jnz1568/getInfo.php?workbook=11_01.xlsx&amp;sheet=A0&amp;row=125&amp;col=15&amp;number=&amp;sourceID=12","")</f>
        <v/>
      </c>
      <c r="P125" s="4" t="str">
        <f>HYPERLINK("http://141.218.60.56/~jnz1568/getInfo.php?workbook=11_01.xlsx&amp;sheet=A0&amp;row=125&amp;col=16&amp;number=2528300&amp;sourceID=12","2528300")</f>
        <v>2528300</v>
      </c>
      <c r="Q125" s="4" t="str">
        <f>HYPERLINK("http://141.218.60.56/~jnz1568/getInfo.php?workbook=11_01.xlsx&amp;sheet=A0&amp;row=125&amp;col=17&amp;number=&amp;sourceID=12","")</f>
        <v/>
      </c>
      <c r="R125" s="4" t="str">
        <f>HYPERLINK("http://141.218.60.56/~jnz1568/getInfo.php?workbook=11_01.xlsx&amp;sheet=A0&amp;row=125&amp;col=18&amp;number=10.829&amp;sourceID=12","10.829")</f>
        <v>10.829</v>
      </c>
      <c r="S125" s="4" t="str">
        <f>HYPERLINK("http://141.218.60.56/~jnz1568/getInfo.php?workbook=11_01.xlsx&amp;sheet=A0&amp;row=125&amp;col=19&amp;number=&amp;sourceID=12","")</f>
        <v/>
      </c>
      <c r="T125" s="4" t="str">
        <f>HYPERLINK("http://141.218.60.56/~jnz1568/getInfo.php?workbook=11_01.xlsx&amp;sheet=A0&amp;row=125&amp;col=20&amp;number=&amp;sourceID=12","")</f>
        <v/>
      </c>
      <c r="U125" s="4" t="str">
        <f>HYPERLINK("http://141.218.60.56/~jnz1568/getInfo.php?workbook=11_01.xlsx&amp;sheet=A0&amp;row=125&amp;col=21&amp;number=2528010.83&amp;sourceID=30","2528010.83")</f>
        <v>2528010.83</v>
      </c>
      <c r="V125" s="4" t="str">
        <f>HYPERLINK("http://141.218.60.56/~jnz1568/getInfo.php?workbook=11_01.xlsx&amp;sheet=A0&amp;row=125&amp;col=22&amp;number=&amp;sourceID=30","")</f>
        <v/>
      </c>
      <c r="W125" s="4" t="str">
        <f>HYPERLINK("http://141.218.60.56/~jnz1568/getInfo.php?workbook=11_01.xlsx&amp;sheet=A0&amp;row=125&amp;col=23&amp;number=2528000&amp;sourceID=30","2528000")</f>
        <v>2528000</v>
      </c>
      <c r="X125" s="4" t="str">
        <f>HYPERLINK("http://141.218.60.56/~jnz1568/getInfo.php?workbook=11_01.xlsx&amp;sheet=A0&amp;row=125&amp;col=24&amp;number=10.83&amp;sourceID=30","10.83")</f>
        <v>10.83</v>
      </c>
      <c r="Y125" s="4" t="str">
        <f>HYPERLINK("http://141.218.60.56/~jnz1568/getInfo.php?workbook=11_01.xlsx&amp;sheet=A0&amp;row=125&amp;col=25&amp;number=&amp;sourceID=30","")</f>
        <v/>
      </c>
      <c r="Z125" s="4" t="str">
        <f>HYPERLINK("http://141.218.60.56/~jnz1568/getInfo.php?workbook=11_01.xlsx&amp;sheet=A0&amp;row=125&amp;col=26&amp;number=&amp;sourceID=13","")</f>
        <v/>
      </c>
      <c r="AA125" s="4" t="str">
        <f>HYPERLINK("http://141.218.60.56/~jnz1568/getInfo.php?workbook=11_01.xlsx&amp;sheet=A0&amp;row=125&amp;col=27&amp;number=&amp;sourceID=13","")</f>
        <v/>
      </c>
      <c r="AB125" s="4" t="str">
        <f>HYPERLINK("http://141.218.60.56/~jnz1568/getInfo.php?workbook=11_01.xlsx&amp;sheet=A0&amp;row=125&amp;col=28&amp;number=&amp;sourceID=13","")</f>
        <v/>
      </c>
      <c r="AC125" s="4" t="str">
        <f>HYPERLINK("http://141.218.60.56/~jnz1568/getInfo.php?workbook=11_01.xlsx&amp;sheet=A0&amp;row=125&amp;col=29&amp;number=&amp;sourceID=13","")</f>
        <v/>
      </c>
      <c r="AD125" s="4" t="str">
        <f>HYPERLINK("http://141.218.60.56/~jnz1568/getInfo.php?workbook=11_01.xlsx&amp;sheet=A0&amp;row=125&amp;col=30&amp;number=&amp;sourceID=13","")</f>
        <v/>
      </c>
      <c r="AE125" s="4" t="str">
        <f>HYPERLINK("http://141.218.60.56/~jnz1568/getInfo.php?workbook=11_01.xlsx&amp;sheet=A0&amp;row=125&amp;col=31&amp;number=&amp;sourceID=13","")</f>
        <v/>
      </c>
    </row>
    <row r="126" spans="1:31">
      <c r="A126" s="3">
        <v>11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HYPERLINK("http://141.218.60.56/~jnz1568/getInfo.php?workbook=11_01.xlsx&amp;sheet=A0&amp;row=126&amp;col=6&amp;number=&amp;sourceID=18","")</f>
        <v/>
      </c>
      <c r="G126" s="4" t="str">
        <f>HYPERLINK("http://141.218.60.56/~jnz1568/getInfo.php?workbook=11_01.xlsx&amp;sheet=A0&amp;row=126&amp;col=7&amp;number==&amp;sourceID=11","=")</f>
        <v>=</v>
      </c>
      <c r="H126" s="4" t="str">
        <f>HYPERLINK("http://141.218.60.56/~jnz1568/getInfo.php?workbook=11_01.xlsx&amp;sheet=A0&amp;row=126&amp;col=8&amp;number=&amp;sourceID=11","")</f>
        <v/>
      </c>
      <c r="I126" s="4" t="str">
        <f>HYPERLINK("http://141.218.60.56/~jnz1568/getInfo.php?workbook=11_01.xlsx&amp;sheet=A0&amp;row=126&amp;col=9&amp;number=&amp;sourceID=11","")</f>
        <v/>
      </c>
      <c r="J126" s="4" t="str">
        <f>HYPERLINK("http://141.218.60.56/~jnz1568/getInfo.php?workbook=11_01.xlsx&amp;sheet=A0&amp;row=126&amp;col=10&amp;number=47.986&amp;sourceID=11","47.986")</f>
        <v>47.986</v>
      </c>
      <c r="K126" s="4" t="str">
        <f>HYPERLINK("http://141.218.60.56/~jnz1568/getInfo.php?workbook=11_01.xlsx&amp;sheet=A0&amp;row=126&amp;col=11&amp;number=&amp;sourceID=11","")</f>
        <v/>
      </c>
      <c r="L126" s="4" t="str">
        <f>HYPERLINK("http://141.218.60.56/~jnz1568/getInfo.php?workbook=11_01.xlsx&amp;sheet=A0&amp;row=126&amp;col=12&amp;number=9.4293&amp;sourceID=11","9.4293")</f>
        <v>9.4293</v>
      </c>
      <c r="M126" s="4" t="str">
        <f>HYPERLINK("http://141.218.60.56/~jnz1568/getInfo.php?workbook=11_01.xlsx&amp;sheet=A0&amp;row=126&amp;col=13&amp;number=&amp;sourceID=11","")</f>
        <v/>
      </c>
      <c r="N126" s="4" t="str">
        <f>HYPERLINK("http://141.218.60.56/~jnz1568/getInfo.php?workbook=11_01.xlsx&amp;sheet=A0&amp;row=126&amp;col=14&amp;number=57.416&amp;sourceID=12","57.416")</f>
        <v>57.416</v>
      </c>
      <c r="O126" s="4" t="str">
        <f>HYPERLINK("http://141.218.60.56/~jnz1568/getInfo.php?workbook=11_01.xlsx&amp;sheet=A0&amp;row=126&amp;col=15&amp;number=&amp;sourceID=12","")</f>
        <v/>
      </c>
      <c r="P126" s="4" t="str">
        <f>HYPERLINK("http://141.218.60.56/~jnz1568/getInfo.php?workbook=11_01.xlsx&amp;sheet=A0&amp;row=126&amp;col=16&amp;number=&amp;sourceID=12","")</f>
        <v/>
      </c>
      <c r="Q126" s="4" t="str">
        <f>HYPERLINK("http://141.218.60.56/~jnz1568/getInfo.php?workbook=11_01.xlsx&amp;sheet=A0&amp;row=126&amp;col=17&amp;number=47.987&amp;sourceID=12","47.987")</f>
        <v>47.987</v>
      </c>
      <c r="R126" s="4" t="str">
        <f>HYPERLINK("http://141.218.60.56/~jnz1568/getInfo.php?workbook=11_01.xlsx&amp;sheet=A0&amp;row=126&amp;col=18&amp;number=&amp;sourceID=12","")</f>
        <v/>
      </c>
      <c r="S126" s="4" t="str">
        <f>HYPERLINK("http://141.218.60.56/~jnz1568/getInfo.php?workbook=11_01.xlsx&amp;sheet=A0&amp;row=126&amp;col=19&amp;number=9.4295&amp;sourceID=12","9.4295")</f>
        <v>9.4295</v>
      </c>
      <c r="T126" s="4" t="str">
        <f>HYPERLINK("http://141.218.60.56/~jnz1568/getInfo.php?workbook=11_01.xlsx&amp;sheet=A0&amp;row=126&amp;col=20&amp;number=&amp;sourceID=12","")</f>
        <v/>
      </c>
      <c r="U126" s="4" t="str">
        <f>HYPERLINK("http://141.218.60.56/~jnz1568/getInfo.php?workbook=11_01.xlsx&amp;sheet=A0&amp;row=126&amp;col=21&amp;number=9.429&amp;sourceID=30","9.429")</f>
        <v>9.429</v>
      </c>
      <c r="V126" s="4" t="str">
        <f>HYPERLINK("http://141.218.60.56/~jnz1568/getInfo.php?workbook=11_01.xlsx&amp;sheet=A0&amp;row=126&amp;col=22&amp;number=&amp;sourceID=30","")</f>
        <v/>
      </c>
      <c r="W126" s="4" t="str">
        <f>HYPERLINK("http://141.218.60.56/~jnz1568/getInfo.php?workbook=11_01.xlsx&amp;sheet=A0&amp;row=126&amp;col=23&amp;number=&amp;sourceID=30","")</f>
        <v/>
      </c>
      <c r="X126" s="4" t="str">
        <f>HYPERLINK("http://141.218.60.56/~jnz1568/getInfo.php?workbook=11_01.xlsx&amp;sheet=A0&amp;row=126&amp;col=24&amp;number=&amp;sourceID=30","")</f>
        <v/>
      </c>
      <c r="Y126" s="4" t="str">
        <f>HYPERLINK("http://141.218.60.56/~jnz1568/getInfo.php?workbook=11_01.xlsx&amp;sheet=A0&amp;row=126&amp;col=25&amp;number=9.429&amp;sourceID=30","9.429")</f>
        <v>9.429</v>
      </c>
      <c r="Z126" s="4" t="str">
        <f>HYPERLINK("http://141.218.60.56/~jnz1568/getInfo.php?workbook=11_01.xlsx&amp;sheet=A0&amp;row=126&amp;col=26&amp;number=&amp;sourceID=13","")</f>
        <v/>
      </c>
      <c r="AA126" s="4" t="str">
        <f>HYPERLINK("http://141.218.60.56/~jnz1568/getInfo.php?workbook=11_01.xlsx&amp;sheet=A0&amp;row=126&amp;col=27&amp;number=&amp;sourceID=13","")</f>
        <v/>
      </c>
      <c r="AB126" s="4" t="str">
        <f>HYPERLINK("http://141.218.60.56/~jnz1568/getInfo.php?workbook=11_01.xlsx&amp;sheet=A0&amp;row=126&amp;col=28&amp;number=&amp;sourceID=13","")</f>
        <v/>
      </c>
      <c r="AC126" s="4" t="str">
        <f>HYPERLINK("http://141.218.60.56/~jnz1568/getInfo.php?workbook=11_01.xlsx&amp;sheet=A0&amp;row=126&amp;col=29&amp;number=&amp;sourceID=13","")</f>
        <v/>
      </c>
      <c r="AD126" s="4" t="str">
        <f>HYPERLINK("http://141.218.60.56/~jnz1568/getInfo.php?workbook=11_01.xlsx&amp;sheet=A0&amp;row=126&amp;col=30&amp;number=&amp;sourceID=13","")</f>
        <v/>
      </c>
      <c r="AE126" s="4" t="str">
        <f>HYPERLINK("http://141.218.60.56/~jnz1568/getInfo.php?workbook=11_01.xlsx&amp;sheet=A0&amp;row=126&amp;col=31&amp;number=&amp;sourceID=13","")</f>
        <v/>
      </c>
    </row>
    <row r="127" spans="1:31">
      <c r="A127" s="3">
        <v>11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HYPERLINK("http://141.218.60.56/~jnz1568/getInfo.php?workbook=11_01.xlsx&amp;sheet=A0&amp;row=127&amp;col=6&amp;number=&amp;sourceID=18","")</f>
        <v/>
      </c>
      <c r="G127" s="4" t="str">
        <f>HYPERLINK("http://141.218.60.56/~jnz1568/getInfo.php?workbook=11_01.xlsx&amp;sheet=A0&amp;row=127&amp;col=7&amp;number==&amp;sourceID=11","=")</f>
        <v>=</v>
      </c>
      <c r="H127" s="4" t="str">
        <f>HYPERLINK("http://141.218.60.56/~jnz1568/getInfo.php?workbook=11_01.xlsx&amp;sheet=A0&amp;row=127&amp;col=8&amp;number=&amp;sourceID=11","")</f>
        <v/>
      </c>
      <c r="I127" s="4" t="str">
        <f>HYPERLINK("http://141.218.60.56/~jnz1568/getInfo.php?workbook=11_01.xlsx&amp;sheet=A0&amp;row=127&amp;col=9&amp;number=&amp;sourceID=11","")</f>
        <v/>
      </c>
      <c r="J127" s="4" t="str">
        <f>HYPERLINK("http://141.218.60.56/~jnz1568/getInfo.php?workbook=11_01.xlsx&amp;sheet=A0&amp;row=127&amp;col=10&amp;number=&amp;sourceID=11","")</f>
        <v/>
      </c>
      <c r="K127" s="4" t="str">
        <f>HYPERLINK("http://141.218.60.56/~jnz1568/getInfo.php?workbook=11_01.xlsx&amp;sheet=A0&amp;row=127&amp;col=11&amp;number=0.0063914&amp;sourceID=11","0.0063914")</f>
        <v>0.0063914</v>
      </c>
      <c r="L127" s="4" t="str">
        <f>HYPERLINK("http://141.218.60.56/~jnz1568/getInfo.php?workbook=11_01.xlsx&amp;sheet=A0&amp;row=127&amp;col=12&amp;number=&amp;sourceID=11","")</f>
        <v/>
      </c>
      <c r="M127" s="4" t="str">
        <f>HYPERLINK("http://141.218.60.56/~jnz1568/getInfo.php?workbook=11_01.xlsx&amp;sheet=A0&amp;row=127&amp;col=13&amp;number=&amp;sourceID=11","")</f>
        <v/>
      </c>
      <c r="N127" s="4" t="str">
        <f>HYPERLINK("http://141.218.60.56/~jnz1568/getInfo.php?workbook=11_01.xlsx&amp;sheet=A0&amp;row=127&amp;col=14&amp;number=0.0063916&amp;sourceID=12","0.0063916")</f>
        <v>0.0063916</v>
      </c>
      <c r="O127" s="4" t="str">
        <f>HYPERLINK("http://141.218.60.56/~jnz1568/getInfo.php?workbook=11_01.xlsx&amp;sheet=A0&amp;row=127&amp;col=15&amp;number=&amp;sourceID=12","")</f>
        <v/>
      </c>
      <c r="P127" s="4" t="str">
        <f>HYPERLINK("http://141.218.60.56/~jnz1568/getInfo.php?workbook=11_01.xlsx&amp;sheet=A0&amp;row=127&amp;col=16&amp;number=&amp;sourceID=12","")</f>
        <v/>
      </c>
      <c r="Q127" s="4" t="str">
        <f>HYPERLINK("http://141.218.60.56/~jnz1568/getInfo.php?workbook=11_01.xlsx&amp;sheet=A0&amp;row=127&amp;col=17&amp;number=&amp;sourceID=12","")</f>
        <v/>
      </c>
      <c r="R127" s="4" t="str">
        <f>HYPERLINK("http://141.218.60.56/~jnz1568/getInfo.php?workbook=11_01.xlsx&amp;sheet=A0&amp;row=127&amp;col=18&amp;number=0.0063916&amp;sourceID=12","0.0063916")</f>
        <v>0.0063916</v>
      </c>
      <c r="S127" s="4" t="str">
        <f>HYPERLINK("http://141.218.60.56/~jnz1568/getInfo.php?workbook=11_01.xlsx&amp;sheet=A0&amp;row=127&amp;col=19&amp;number=&amp;sourceID=12","")</f>
        <v/>
      </c>
      <c r="T127" s="4" t="str">
        <f>HYPERLINK("http://141.218.60.56/~jnz1568/getInfo.php?workbook=11_01.xlsx&amp;sheet=A0&amp;row=127&amp;col=20&amp;number=&amp;sourceID=12","")</f>
        <v/>
      </c>
      <c r="U127" s="4" t="str">
        <f>HYPERLINK("http://141.218.60.56/~jnz1568/getInfo.php?workbook=11_01.xlsx&amp;sheet=A0&amp;row=127&amp;col=21&amp;number=0.006415&amp;sourceID=30","0.006415")</f>
        <v>0.006415</v>
      </c>
      <c r="V127" s="4" t="str">
        <f>HYPERLINK("http://141.218.60.56/~jnz1568/getInfo.php?workbook=11_01.xlsx&amp;sheet=A0&amp;row=127&amp;col=22&amp;number=&amp;sourceID=30","")</f>
        <v/>
      </c>
      <c r="W127" s="4" t="str">
        <f>HYPERLINK("http://141.218.60.56/~jnz1568/getInfo.php?workbook=11_01.xlsx&amp;sheet=A0&amp;row=127&amp;col=23&amp;number=&amp;sourceID=30","")</f>
        <v/>
      </c>
      <c r="X127" s="4" t="str">
        <f>HYPERLINK("http://141.218.60.56/~jnz1568/getInfo.php?workbook=11_01.xlsx&amp;sheet=A0&amp;row=127&amp;col=24&amp;number=0.006415&amp;sourceID=30","0.006415")</f>
        <v>0.006415</v>
      </c>
      <c r="Y127" s="4" t="str">
        <f>HYPERLINK("http://141.218.60.56/~jnz1568/getInfo.php?workbook=11_01.xlsx&amp;sheet=A0&amp;row=127&amp;col=25&amp;number=&amp;sourceID=30","")</f>
        <v/>
      </c>
      <c r="Z127" s="4" t="str">
        <f>HYPERLINK("http://141.218.60.56/~jnz1568/getInfo.php?workbook=11_01.xlsx&amp;sheet=A0&amp;row=127&amp;col=26&amp;number=&amp;sourceID=13","")</f>
        <v/>
      </c>
      <c r="AA127" s="4" t="str">
        <f>HYPERLINK("http://141.218.60.56/~jnz1568/getInfo.php?workbook=11_01.xlsx&amp;sheet=A0&amp;row=127&amp;col=27&amp;number=&amp;sourceID=13","")</f>
        <v/>
      </c>
      <c r="AB127" s="4" t="str">
        <f>HYPERLINK("http://141.218.60.56/~jnz1568/getInfo.php?workbook=11_01.xlsx&amp;sheet=A0&amp;row=127&amp;col=28&amp;number=&amp;sourceID=13","")</f>
        <v/>
      </c>
      <c r="AC127" s="4" t="str">
        <f>HYPERLINK("http://141.218.60.56/~jnz1568/getInfo.php?workbook=11_01.xlsx&amp;sheet=A0&amp;row=127&amp;col=29&amp;number=&amp;sourceID=13","")</f>
        <v/>
      </c>
      <c r="AD127" s="4" t="str">
        <f>HYPERLINK("http://141.218.60.56/~jnz1568/getInfo.php?workbook=11_01.xlsx&amp;sheet=A0&amp;row=127&amp;col=30&amp;number=&amp;sourceID=13","")</f>
        <v/>
      </c>
      <c r="AE127" s="4" t="str">
        <f>HYPERLINK("http://141.218.60.56/~jnz1568/getInfo.php?workbook=11_01.xlsx&amp;sheet=A0&amp;row=127&amp;col=31&amp;number=&amp;sourceID=13","")</f>
        <v/>
      </c>
    </row>
    <row r="128" spans="1:31">
      <c r="A128" s="3">
        <v>11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HYPERLINK("http://141.218.60.56/~jnz1568/getInfo.php?workbook=11_01.xlsx&amp;sheet=A0&amp;row=128&amp;col=6&amp;number=&amp;sourceID=18","")</f>
        <v/>
      </c>
      <c r="G128" s="4" t="str">
        <f>HYPERLINK("http://141.218.60.56/~jnz1568/getInfo.php?workbook=11_01.xlsx&amp;sheet=A0&amp;row=128&amp;col=7&amp;number==&amp;sourceID=11","=")</f>
        <v>=</v>
      </c>
      <c r="H128" s="4" t="str">
        <f>HYPERLINK("http://141.218.60.56/~jnz1568/getInfo.php?workbook=11_01.xlsx&amp;sheet=A0&amp;row=128&amp;col=8&amp;number=10833000000&amp;sourceID=11","10833000000")</f>
        <v>10833000000</v>
      </c>
      <c r="I128" s="4" t="str">
        <f>HYPERLINK("http://141.218.60.56/~jnz1568/getInfo.php?workbook=11_01.xlsx&amp;sheet=A0&amp;row=128&amp;col=9&amp;number=&amp;sourceID=11","")</f>
        <v/>
      </c>
      <c r="J128" s="4" t="str">
        <f>HYPERLINK("http://141.218.60.56/~jnz1568/getInfo.php?workbook=11_01.xlsx&amp;sheet=A0&amp;row=128&amp;col=10&amp;number=&amp;sourceID=11","")</f>
        <v/>
      </c>
      <c r="K128" s="4" t="str">
        <f>HYPERLINK("http://141.218.60.56/~jnz1568/getInfo.php?workbook=11_01.xlsx&amp;sheet=A0&amp;row=128&amp;col=11&amp;number=&amp;sourceID=11","")</f>
        <v/>
      </c>
      <c r="L128" s="4" t="str">
        <f>HYPERLINK("http://141.218.60.56/~jnz1568/getInfo.php?workbook=11_01.xlsx&amp;sheet=A0&amp;row=128&amp;col=12&amp;number=&amp;sourceID=11","")</f>
        <v/>
      </c>
      <c r="M128" s="4" t="str">
        <f>HYPERLINK("http://141.218.60.56/~jnz1568/getInfo.php?workbook=11_01.xlsx&amp;sheet=A0&amp;row=128&amp;col=13&amp;number=&amp;sourceID=11","")</f>
        <v/>
      </c>
      <c r="N128" s="4" t="str">
        <f>HYPERLINK("http://141.218.60.56/~jnz1568/getInfo.php?workbook=11_01.xlsx&amp;sheet=A0&amp;row=128&amp;col=14&amp;number=10833000000&amp;sourceID=12","10833000000")</f>
        <v>10833000000</v>
      </c>
      <c r="O128" s="4" t="str">
        <f>HYPERLINK("http://141.218.60.56/~jnz1568/getInfo.php?workbook=11_01.xlsx&amp;sheet=A0&amp;row=128&amp;col=15&amp;number=10833000000&amp;sourceID=12","10833000000")</f>
        <v>10833000000</v>
      </c>
      <c r="P128" s="4" t="str">
        <f>HYPERLINK("http://141.218.60.56/~jnz1568/getInfo.php?workbook=11_01.xlsx&amp;sheet=A0&amp;row=128&amp;col=16&amp;number=&amp;sourceID=12","")</f>
        <v/>
      </c>
      <c r="Q128" s="4" t="str">
        <f>HYPERLINK("http://141.218.60.56/~jnz1568/getInfo.php?workbook=11_01.xlsx&amp;sheet=A0&amp;row=128&amp;col=17&amp;number=&amp;sourceID=12","")</f>
        <v/>
      </c>
      <c r="R128" s="4" t="str">
        <f>HYPERLINK("http://141.218.60.56/~jnz1568/getInfo.php?workbook=11_01.xlsx&amp;sheet=A0&amp;row=128&amp;col=18&amp;number=&amp;sourceID=12","")</f>
        <v/>
      </c>
      <c r="S128" s="4" t="str">
        <f>HYPERLINK("http://141.218.60.56/~jnz1568/getInfo.php?workbook=11_01.xlsx&amp;sheet=A0&amp;row=128&amp;col=19&amp;number=&amp;sourceID=12","")</f>
        <v/>
      </c>
      <c r="T128" s="4" t="str">
        <f>HYPERLINK("http://141.218.60.56/~jnz1568/getInfo.php?workbook=11_01.xlsx&amp;sheet=A0&amp;row=128&amp;col=20&amp;number=&amp;sourceID=12","")</f>
        <v/>
      </c>
      <c r="U128" s="4" t="str">
        <f>HYPERLINK("http://141.218.60.56/~jnz1568/getInfo.php?workbook=11_01.xlsx&amp;sheet=A0&amp;row=128&amp;col=21&amp;number=10830000000&amp;sourceID=30","10830000000")</f>
        <v>10830000000</v>
      </c>
      <c r="V128" s="4" t="str">
        <f>HYPERLINK("http://141.218.60.56/~jnz1568/getInfo.php?workbook=11_01.xlsx&amp;sheet=A0&amp;row=128&amp;col=22&amp;number=10830000000&amp;sourceID=30","10830000000")</f>
        <v>10830000000</v>
      </c>
      <c r="W128" s="4" t="str">
        <f>HYPERLINK("http://141.218.60.56/~jnz1568/getInfo.php?workbook=11_01.xlsx&amp;sheet=A0&amp;row=128&amp;col=23&amp;number=&amp;sourceID=30","")</f>
        <v/>
      </c>
      <c r="X128" s="4" t="str">
        <f>HYPERLINK("http://141.218.60.56/~jnz1568/getInfo.php?workbook=11_01.xlsx&amp;sheet=A0&amp;row=128&amp;col=24&amp;number=&amp;sourceID=30","")</f>
        <v/>
      </c>
      <c r="Y128" s="4" t="str">
        <f>HYPERLINK("http://141.218.60.56/~jnz1568/getInfo.php?workbook=11_01.xlsx&amp;sheet=A0&amp;row=128&amp;col=25&amp;number=&amp;sourceID=30","")</f>
        <v/>
      </c>
      <c r="Z128" s="4" t="str">
        <f>HYPERLINK("http://141.218.60.56/~jnz1568/getInfo.php?workbook=11_01.xlsx&amp;sheet=A0&amp;row=128&amp;col=26&amp;number=&amp;sourceID=13","")</f>
        <v/>
      </c>
      <c r="AA128" s="4" t="str">
        <f>HYPERLINK("http://141.218.60.56/~jnz1568/getInfo.php?workbook=11_01.xlsx&amp;sheet=A0&amp;row=128&amp;col=27&amp;number=&amp;sourceID=13","")</f>
        <v/>
      </c>
      <c r="AB128" s="4" t="str">
        <f>HYPERLINK("http://141.218.60.56/~jnz1568/getInfo.php?workbook=11_01.xlsx&amp;sheet=A0&amp;row=128&amp;col=28&amp;number=&amp;sourceID=13","")</f>
        <v/>
      </c>
      <c r="AC128" s="4" t="str">
        <f>HYPERLINK("http://141.218.60.56/~jnz1568/getInfo.php?workbook=11_01.xlsx&amp;sheet=A0&amp;row=128&amp;col=29&amp;number=&amp;sourceID=13","")</f>
        <v/>
      </c>
      <c r="AD128" s="4" t="str">
        <f>HYPERLINK("http://141.218.60.56/~jnz1568/getInfo.php?workbook=11_01.xlsx&amp;sheet=A0&amp;row=128&amp;col=30&amp;number=&amp;sourceID=13","")</f>
        <v/>
      </c>
      <c r="AE128" s="4" t="str">
        <f>HYPERLINK("http://141.218.60.56/~jnz1568/getInfo.php?workbook=11_01.xlsx&amp;sheet=A0&amp;row=128&amp;col=31&amp;number=&amp;sourceID=13","")</f>
        <v/>
      </c>
    </row>
    <row r="129" spans="1:31">
      <c r="A129" s="3">
        <v>11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HYPERLINK("http://141.218.60.56/~jnz1568/getInfo.php?workbook=11_01.xlsx&amp;sheet=A0&amp;row=129&amp;col=6&amp;number=&amp;sourceID=18","")</f>
        <v/>
      </c>
      <c r="G129" s="4" t="str">
        <f>HYPERLINK("http://141.218.60.56/~jnz1568/getInfo.php?workbook=11_01.xlsx&amp;sheet=A0&amp;row=129&amp;col=7&amp;number==&amp;sourceID=11","=")</f>
        <v>=</v>
      </c>
      <c r="H129" s="4" t="str">
        <f>HYPERLINK("http://141.218.60.56/~jnz1568/getInfo.php?workbook=11_01.xlsx&amp;sheet=A0&amp;row=129&amp;col=8&amp;number=2808900000&amp;sourceID=11","2808900000")</f>
        <v>2808900000</v>
      </c>
      <c r="I129" s="4" t="str">
        <f>HYPERLINK("http://141.218.60.56/~jnz1568/getInfo.php?workbook=11_01.xlsx&amp;sheet=A0&amp;row=129&amp;col=9&amp;number=&amp;sourceID=11","")</f>
        <v/>
      </c>
      <c r="J129" s="4" t="str">
        <f>HYPERLINK("http://141.218.60.56/~jnz1568/getInfo.php?workbook=11_01.xlsx&amp;sheet=A0&amp;row=129&amp;col=10&amp;number=&amp;sourceID=11","")</f>
        <v/>
      </c>
      <c r="K129" s="4" t="str">
        <f>HYPERLINK("http://141.218.60.56/~jnz1568/getInfo.php?workbook=11_01.xlsx&amp;sheet=A0&amp;row=129&amp;col=11&amp;number=&amp;sourceID=11","")</f>
        <v/>
      </c>
      <c r="L129" s="4" t="str">
        <f>HYPERLINK("http://141.218.60.56/~jnz1568/getInfo.php?workbook=11_01.xlsx&amp;sheet=A0&amp;row=129&amp;col=12&amp;number=0.11061&amp;sourceID=11","0.11061")</f>
        <v>0.11061</v>
      </c>
      <c r="M129" s="4" t="str">
        <f>HYPERLINK("http://141.218.60.56/~jnz1568/getInfo.php?workbook=11_01.xlsx&amp;sheet=A0&amp;row=129&amp;col=13&amp;number=&amp;sourceID=11","")</f>
        <v/>
      </c>
      <c r="N129" s="4" t="str">
        <f>HYPERLINK("http://141.218.60.56/~jnz1568/getInfo.php?workbook=11_01.xlsx&amp;sheet=A0&amp;row=129&amp;col=14&amp;number=2809000000&amp;sourceID=12","2809000000")</f>
        <v>2809000000</v>
      </c>
      <c r="O129" s="4" t="str">
        <f>HYPERLINK("http://141.218.60.56/~jnz1568/getInfo.php?workbook=11_01.xlsx&amp;sheet=A0&amp;row=129&amp;col=15&amp;number=2809000000&amp;sourceID=12","2809000000")</f>
        <v>2809000000</v>
      </c>
      <c r="P129" s="4" t="str">
        <f>HYPERLINK("http://141.218.60.56/~jnz1568/getInfo.php?workbook=11_01.xlsx&amp;sheet=A0&amp;row=129&amp;col=16&amp;number=&amp;sourceID=12","")</f>
        <v/>
      </c>
      <c r="Q129" s="4" t="str">
        <f>HYPERLINK("http://141.218.60.56/~jnz1568/getInfo.php?workbook=11_01.xlsx&amp;sheet=A0&amp;row=129&amp;col=17&amp;number=&amp;sourceID=12","")</f>
        <v/>
      </c>
      <c r="R129" s="4" t="str">
        <f>HYPERLINK("http://141.218.60.56/~jnz1568/getInfo.php?workbook=11_01.xlsx&amp;sheet=A0&amp;row=129&amp;col=18&amp;number=&amp;sourceID=12","")</f>
        <v/>
      </c>
      <c r="S129" s="4" t="str">
        <f>HYPERLINK("http://141.218.60.56/~jnz1568/getInfo.php?workbook=11_01.xlsx&amp;sheet=A0&amp;row=129&amp;col=19&amp;number=0.11062&amp;sourceID=12","0.11062")</f>
        <v>0.11062</v>
      </c>
      <c r="T129" s="4" t="str">
        <f>HYPERLINK("http://141.218.60.56/~jnz1568/getInfo.php?workbook=11_01.xlsx&amp;sheet=A0&amp;row=129&amp;col=20&amp;number=&amp;sourceID=12","")</f>
        <v/>
      </c>
      <c r="U129" s="4" t="str">
        <f>HYPERLINK("http://141.218.60.56/~jnz1568/getInfo.php?workbook=11_01.xlsx&amp;sheet=A0&amp;row=129&amp;col=21&amp;number=2809000000.11&amp;sourceID=30","2809000000.11")</f>
        <v>2809000000.11</v>
      </c>
      <c r="V129" s="4" t="str">
        <f>HYPERLINK("http://141.218.60.56/~jnz1568/getInfo.php?workbook=11_01.xlsx&amp;sheet=A0&amp;row=129&amp;col=22&amp;number=2809000000&amp;sourceID=30","2809000000")</f>
        <v>2809000000</v>
      </c>
      <c r="W129" s="4" t="str">
        <f>HYPERLINK("http://141.218.60.56/~jnz1568/getInfo.php?workbook=11_01.xlsx&amp;sheet=A0&amp;row=129&amp;col=23&amp;number=&amp;sourceID=30","")</f>
        <v/>
      </c>
      <c r="X129" s="4" t="str">
        <f>HYPERLINK("http://141.218.60.56/~jnz1568/getInfo.php?workbook=11_01.xlsx&amp;sheet=A0&amp;row=129&amp;col=24&amp;number=&amp;sourceID=30","")</f>
        <v/>
      </c>
      <c r="Y129" s="4" t="str">
        <f>HYPERLINK("http://141.218.60.56/~jnz1568/getInfo.php?workbook=11_01.xlsx&amp;sheet=A0&amp;row=129&amp;col=25&amp;number=0.1106&amp;sourceID=30","0.1106")</f>
        <v>0.1106</v>
      </c>
      <c r="Z129" s="4" t="str">
        <f>HYPERLINK("http://141.218.60.56/~jnz1568/getInfo.php?workbook=11_01.xlsx&amp;sheet=A0&amp;row=129&amp;col=26&amp;number=&amp;sourceID=13","")</f>
        <v/>
      </c>
      <c r="AA129" s="4" t="str">
        <f>HYPERLINK("http://141.218.60.56/~jnz1568/getInfo.php?workbook=11_01.xlsx&amp;sheet=A0&amp;row=129&amp;col=27&amp;number=&amp;sourceID=13","")</f>
        <v/>
      </c>
      <c r="AB129" s="4" t="str">
        <f>HYPERLINK("http://141.218.60.56/~jnz1568/getInfo.php?workbook=11_01.xlsx&amp;sheet=A0&amp;row=129&amp;col=28&amp;number=&amp;sourceID=13","")</f>
        <v/>
      </c>
      <c r="AC129" s="4" t="str">
        <f>HYPERLINK("http://141.218.60.56/~jnz1568/getInfo.php?workbook=11_01.xlsx&amp;sheet=A0&amp;row=129&amp;col=29&amp;number=&amp;sourceID=13","")</f>
        <v/>
      </c>
      <c r="AD129" s="4" t="str">
        <f>HYPERLINK("http://141.218.60.56/~jnz1568/getInfo.php?workbook=11_01.xlsx&amp;sheet=A0&amp;row=129&amp;col=30&amp;number=&amp;sourceID=13","")</f>
        <v/>
      </c>
      <c r="AE129" s="4" t="str">
        <f>HYPERLINK("http://141.218.60.56/~jnz1568/getInfo.php?workbook=11_01.xlsx&amp;sheet=A0&amp;row=129&amp;col=31&amp;number=&amp;sourceID=13","")</f>
        <v/>
      </c>
    </row>
    <row r="130" spans="1:31">
      <c r="A130" s="3">
        <v>11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HYPERLINK("http://141.218.60.56/~jnz1568/getInfo.php?workbook=11_01.xlsx&amp;sheet=A0&amp;row=130&amp;col=6&amp;number=&amp;sourceID=18","")</f>
        <v/>
      </c>
      <c r="G130" s="4" t="str">
        <f>HYPERLINK("http://141.218.60.56/~jnz1568/getInfo.php?workbook=11_01.xlsx&amp;sheet=A0&amp;row=130&amp;col=7&amp;number==&amp;sourceID=11","=")</f>
        <v>=</v>
      </c>
      <c r="H130" s="4" t="str">
        <f>HYPERLINK("http://141.218.60.56/~jnz1568/getInfo.php?workbook=11_01.xlsx&amp;sheet=A0&amp;row=130&amp;col=8&amp;number=&amp;sourceID=11","")</f>
        <v/>
      </c>
      <c r="I130" s="4" t="str">
        <f>HYPERLINK("http://141.218.60.56/~jnz1568/getInfo.php?workbook=11_01.xlsx&amp;sheet=A0&amp;row=130&amp;col=9&amp;number=806580&amp;sourceID=11","806580")</f>
        <v>806580</v>
      </c>
      <c r="J130" s="4" t="str">
        <f>HYPERLINK("http://141.218.60.56/~jnz1568/getInfo.php?workbook=11_01.xlsx&amp;sheet=A0&amp;row=130&amp;col=10&amp;number=&amp;sourceID=11","")</f>
        <v/>
      </c>
      <c r="K130" s="4" t="str">
        <f>HYPERLINK("http://141.218.60.56/~jnz1568/getInfo.php?workbook=11_01.xlsx&amp;sheet=A0&amp;row=130&amp;col=11&amp;number=1.3463&amp;sourceID=11","1.3463")</f>
        <v>1.3463</v>
      </c>
      <c r="L130" s="4" t="str">
        <f>HYPERLINK("http://141.218.60.56/~jnz1568/getInfo.php?workbook=11_01.xlsx&amp;sheet=A0&amp;row=130&amp;col=12&amp;number=&amp;sourceID=11","")</f>
        <v/>
      </c>
      <c r="M130" s="4" t="str">
        <f>HYPERLINK("http://141.218.60.56/~jnz1568/getInfo.php?workbook=11_01.xlsx&amp;sheet=A0&amp;row=130&amp;col=13&amp;number=&amp;sourceID=11","")</f>
        <v/>
      </c>
      <c r="N130" s="4" t="str">
        <f>HYPERLINK("http://141.218.60.56/~jnz1568/getInfo.php?workbook=11_01.xlsx&amp;sheet=A0&amp;row=130&amp;col=14&amp;number=806600&amp;sourceID=12","806600")</f>
        <v>806600</v>
      </c>
      <c r="O130" s="4" t="str">
        <f>HYPERLINK("http://141.218.60.56/~jnz1568/getInfo.php?workbook=11_01.xlsx&amp;sheet=A0&amp;row=130&amp;col=15&amp;number=&amp;sourceID=12","")</f>
        <v/>
      </c>
      <c r="P130" s="4" t="str">
        <f>HYPERLINK("http://141.218.60.56/~jnz1568/getInfo.php?workbook=11_01.xlsx&amp;sheet=A0&amp;row=130&amp;col=16&amp;number=806600&amp;sourceID=12","806600")</f>
        <v>806600</v>
      </c>
      <c r="Q130" s="4" t="str">
        <f>HYPERLINK("http://141.218.60.56/~jnz1568/getInfo.php?workbook=11_01.xlsx&amp;sheet=A0&amp;row=130&amp;col=17&amp;number=&amp;sourceID=12","")</f>
        <v/>
      </c>
      <c r="R130" s="4" t="str">
        <f>HYPERLINK("http://141.218.60.56/~jnz1568/getInfo.php?workbook=11_01.xlsx&amp;sheet=A0&amp;row=130&amp;col=18&amp;number=1.3464&amp;sourceID=12","1.3464")</f>
        <v>1.3464</v>
      </c>
      <c r="S130" s="4" t="str">
        <f>HYPERLINK("http://141.218.60.56/~jnz1568/getInfo.php?workbook=11_01.xlsx&amp;sheet=A0&amp;row=130&amp;col=19&amp;number=&amp;sourceID=12","")</f>
        <v/>
      </c>
      <c r="T130" s="4" t="str">
        <f>HYPERLINK("http://141.218.60.56/~jnz1568/getInfo.php?workbook=11_01.xlsx&amp;sheet=A0&amp;row=130&amp;col=20&amp;number=&amp;sourceID=12","")</f>
        <v/>
      </c>
      <c r="U130" s="4" t="str">
        <f>HYPERLINK("http://141.218.60.56/~jnz1568/getInfo.php?workbook=11_01.xlsx&amp;sheet=A0&amp;row=130&amp;col=21&amp;number=806601.346&amp;sourceID=30","806601.346")</f>
        <v>806601.346</v>
      </c>
      <c r="V130" s="4" t="str">
        <f>HYPERLINK("http://141.218.60.56/~jnz1568/getInfo.php?workbook=11_01.xlsx&amp;sheet=A0&amp;row=130&amp;col=22&amp;number=&amp;sourceID=30","")</f>
        <v/>
      </c>
      <c r="W130" s="4" t="str">
        <f>HYPERLINK("http://141.218.60.56/~jnz1568/getInfo.php?workbook=11_01.xlsx&amp;sheet=A0&amp;row=130&amp;col=23&amp;number=806600&amp;sourceID=30","806600")</f>
        <v>806600</v>
      </c>
      <c r="X130" s="4" t="str">
        <f>HYPERLINK("http://141.218.60.56/~jnz1568/getInfo.php?workbook=11_01.xlsx&amp;sheet=A0&amp;row=130&amp;col=24&amp;number=1.346&amp;sourceID=30","1.346")</f>
        <v>1.346</v>
      </c>
      <c r="Y130" s="4" t="str">
        <f>HYPERLINK("http://141.218.60.56/~jnz1568/getInfo.php?workbook=11_01.xlsx&amp;sheet=A0&amp;row=130&amp;col=25&amp;number=&amp;sourceID=30","")</f>
        <v/>
      </c>
      <c r="Z130" s="4" t="str">
        <f>HYPERLINK("http://141.218.60.56/~jnz1568/getInfo.php?workbook=11_01.xlsx&amp;sheet=A0&amp;row=130&amp;col=26&amp;number=&amp;sourceID=13","")</f>
        <v/>
      </c>
      <c r="AA130" s="4" t="str">
        <f>HYPERLINK("http://141.218.60.56/~jnz1568/getInfo.php?workbook=11_01.xlsx&amp;sheet=A0&amp;row=130&amp;col=27&amp;number=&amp;sourceID=13","")</f>
        <v/>
      </c>
      <c r="AB130" s="4" t="str">
        <f>HYPERLINK("http://141.218.60.56/~jnz1568/getInfo.php?workbook=11_01.xlsx&amp;sheet=A0&amp;row=130&amp;col=28&amp;number=&amp;sourceID=13","")</f>
        <v/>
      </c>
      <c r="AC130" s="4" t="str">
        <f>HYPERLINK("http://141.218.60.56/~jnz1568/getInfo.php?workbook=11_01.xlsx&amp;sheet=A0&amp;row=130&amp;col=29&amp;number=&amp;sourceID=13","")</f>
        <v/>
      </c>
      <c r="AD130" s="4" t="str">
        <f>HYPERLINK("http://141.218.60.56/~jnz1568/getInfo.php?workbook=11_01.xlsx&amp;sheet=A0&amp;row=130&amp;col=30&amp;number=&amp;sourceID=13","")</f>
        <v/>
      </c>
      <c r="AE130" s="4" t="str">
        <f>HYPERLINK("http://141.218.60.56/~jnz1568/getInfo.php?workbook=11_01.xlsx&amp;sheet=A0&amp;row=130&amp;col=31&amp;number=&amp;sourceID=13","")</f>
        <v/>
      </c>
    </row>
    <row r="131" spans="1:31">
      <c r="A131" s="3">
        <v>11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HYPERLINK("http://141.218.60.56/~jnz1568/getInfo.php?workbook=11_01.xlsx&amp;sheet=A0&amp;row=131&amp;col=6&amp;number=&amp;sourceID=18","")</f>
        <v/>
      </c>
      <c r="G131" s="4" t="str">
        <f>HYPERLINK("http://141.218.60.56/~jnz1568/getInfo.php?workbook=11_01.xlsx&amp;sheet=A0&amp;row=131&amp;col=7&amp;number==&amp;sourceID=11","=")</f>
        <v>=</v>
      </c>
      <c r="H131" s="4" t="str">
        <f>HYPERLINK("http://141.218.60.56/~jnz1568/getInfo.php?workbook=11_01.xlsx&amp;sheet=A0&amp;row=131&amp;col=8&amp;number=&amp;sourceID=11","")</f>
        <v/>
      </c>
      <c r="I131" s="4" t="str">
        <f>HYPERLINK("http://141.218.60.56/~jnz1568/getInfo.php?workbook=11_01.xlsx&amp;sheet=A0&amp;row=131&amp;col=9&amp;number=84103&amp;sourceID=11","84103")</f>
        <v>84103</v>
      </c>
      <c r="J131" s="4" t="str">
        <f>HYPERLINK("http://141.218.60.56/~jnz1568/getInfo.php?workbook=11_01.xlsx&amp;sheet=A0&amp;row=131&amp;col=10&amp;number=&amp;sourceID=11","")</f>
        <v/>
      </c>
      <c r="K131" s="4" t="str">
        <f>HYPERLINK("http://141.218.60.56/~jnz1568/getInfo.php?workbook=11_01.xlsx&amp;sheet=A0&amp;row=131&amp;col=11&amp;number=&amp;sourceID=11","")</f>
        <v/>
      </c>
      <c r="L131" s="4" t="str">
        <f>HYPERLINK("http://141.218.60.56/~jnz1568/getInfo.php?workbook=11_01.xlsx&amp;sheet=A0&amp;row=131&amp;col=12&amp;number=&amp;sourceID=11","")</f>
        <v/>
      </c>
      <c r="M131" s="4" t="str">
        <f>HYPERLINK("http://141.218.60.56/~jnz1568/getInfo.php?workbook=11_01.xlsx&amp;sheet=A0&amp;row=131&amp;col=13&amp;number=1.999e-06&amp;sourceID=11","1.999e-06")</f>
        <v>1.999e-06</v>
      </c>
      <c r="N131" s="4" t="str">
        <f>HYPERLINK("http://141.218.60.56/~jnz1568/getInfo.php?workbook=11_01.xlsx&amp;sheet=A0&amp;row=131&amp;col=14&amp;number=84105&amp;sourceID=12","84105")</f>
        <v>84105</v>
      </c>
      <c r="O131" s="4" t="str">
        <f>HYPERLINK("http://141.218.60.56/~jnz1568/getInfo.php?workbook=11_01.xlsx&amp;sheet=A0&amp;row=131&amp;col=15&amp;number=&amp;sourceID=12","")</f>
        <v/>
      </c>
      <c r="P131" s="4" t="str">
        <f>HYPERLINK("http://141.218.60.56/~jnz1568/getInfo.php?workbook=11_01.xlsx&amp;sheet=A0&amp;row=131&amp;col=16&amp;number=84105&amp;sourceID=12","84105")</f>
        <v>84105</v>
      </c>
      <c r="Q131" s="4" t="str">
        <f>HYPERLINK("http://141.218.60.56/~jnz1568/getInfo.php?workbook=11_01.xlsx&amp;sheet=A0&amp;row=131&amp;col=17&amp;number=&amp;sourceID=12","")</f>
        <v/>
      </c>
      <c r="R131" s="4" t="str">
        <f>HYPERLINK("http://141.218.60.56/~jnz1568/getInfo.php?workbook=11_01.xlsx&amp;sheet=A0&amp;row=131&amp;col=18&amp;number=&amp;sourceID=12","")</f>
        <v/>
      </c>
      <c r="S131" s="4" t="str">
        <f>HYPERLINK("http://141.218.60.56/~jnz1568/getInfo.php?workbook=11_01.xlsx&amp;sheet=A0&amp;row=131&amp;col=19&amp;number=&amp;sourceID=12","")</f>
        <v/>
      </c>
      <c r="T131" s="4" t="str">
        <f>HYPERLINK("http://141.218.60.56/~jnz1568/getInfo.php?workbook=11_01.xlsx&amp;sheet=A0&amp;row=131&amp;col=20&amp;number=1.999e-06&amp;sourceID=12","1.999e-06")</f>
        <v>1.999e-06</v>
      </c>
      <c r="U131" s="4" t="str">
        <f>HYPERLINK("http://141.218.60.56/~jnz1568/getInfo.php?workbook=11_01.xlsx&amp;sheet=A0&amp;row=131&amp;col=21&amp;number=84100&amp;sourceID=30","84100")</f>
        <v>84100</v>
      </c>
      <c r="V131" s="4" t="str">
        <f>HYPERLINK("http://141.218.60.56/~jnz1568/getInfo.php?workbook=11_01.xlsx&amp;sheet=A0&amp;row=131&amp;col=22&amp;number=&amp;sourceID=30","")</f>
        <v/>
      </c>
      <c r="W131" s="4" t="str">
        <f>HYPERLINK("http://141.218.60.56/~jnz1568/getInfo.php?workbook=11_01.xlsx&amp;sheet=A0&amp;row=131&amp;col=23&amp;number=84100&amp;sourceID=30","84100")</f>
        <v>84100</v>
      </c>
      <c r="X131" s="4" t="str">
        <f>HYPERLINK("http://141.218.60.56/~jnz1568/getInfo.php?workbook=11_01.xlsx&amp;sheet=A0&amp;row=131&amp;col=24&amp;number=&amp;sourceID=30","")</f>
        <v/>
      </c>
      <c r="Y131" s="4" t="str">
        <f>HYPERLINK("http://141.218.60.56/~jnz1568/getInfo.php?workbook=11_01.xlsx&amp;sheet=A0&amp;row=131&amp;col=25&amp;number=&amp;sourceID=30","")</f>
        <v/>
      </c>
      <c r="Z131" s="4" t="str">
        <f>HYPERLINK("http://141.218.60.56/~jnz1568/getInfo.php?workbook=11_01.xlsx&amp;sheet=A0&amp;row=131&amp;col=26&amp;number=&amp;sourceID=13","")</f>
        <v/>
      </c>
      <c r="AA131" s="4" t="str">
        <f>HYPERLINK("http://141.218.60.56/~jnz1568/getInfo.php?workbook=11_01.xlsx&amp;sheet=A0&amp;row=131&amp;col=27&amp;number=&amp;sourceID=13","")</f>
        <v/>
      </c>
      <c r="AB131" s="4" t="str">
        <f>HYPERLINK("http://141.218.60.56/~jnz1568/getInfo.php?workbook=11_01.xlsx&amp;sheet=A0&amp;row=131&amp;col=28&amp;number=&amp;sourceID=13","")</f>
        <v/>
      </c>
      <c r="AC131" s="4" t="str">
        <f>HYPERLINK("http://141.218.60.56/~jnz1568/getInfo.php?workbook=11_01.xlsx&amp;sheet=A0&amp;row=131&amp;col=29&amp;number=&amp;sourceID=13","")</f>
        <v/>
      </c>
      <c r="AD131" s="4" t="str">
        <f>HYPERLINK("http://141.218.60.56/~jnz1568/getInfo.php?workbook=11_01.xlsx&amp;sheet=A0&amp;row=131&amp;col=30&amp;number=&amp;sourceID=13","")</f>
        <v/>
      </c>
      <c r="AE131" s="4" t="str">
        <f>HYPERLINK("http://141.218.60.56/~jnz1568/getInfo.php?workbook=11_01.xlsx&amp;sheet=A0&amp;row=131&amp;col=31&amp;number=&amp;sourceID=13","")</f>
        <v/>
      </c>
    </row>
    <row r="132" spans="1:31">
      <c r="A132" s="3">
        <v>11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HYPERLINK("http://141.218.60.56/~jnz1568/getInfo.php?workbook=11_01.xlsx&amp;sheet=A0&amp;row=132&amp;col=6&amp;number=&amp;sourceID=18","")</f>
        <v/>
      </c>
      <c r="G132" s="4" t="str">
        <f>HYPERLINK("http://141.218.60.56/~jnz1568/getInfo.php?workbook=11_01.xlsx&amp;sheet=A0&amp;row=132&amp;col=7&amp;number==&amp;sourceID=11","=")</f>
        <v>=</v>
      </c>
      <c r="H132" s="4" t="str">
        <f>HYPERLINK("http://141.218.60.56/~jnz1568/getInfo.php?workbook=11_01.xlsx&amp;sheet=A0&amp;row=132&amp;col=8&amp;number=&amp;sourceID=11","")</f>
        <v/>
      </c>
      <c r="I132" s="4" t="str">
        <f>HYPERLINK("http://141.218.60.56/~jnz1568/getInfo.php?workbook=11_01.xlsx&amp;sheet=A0&amp;row=132&amp;col=9&amp;number=&amp;sourceID=11","")</f>
        <v/>
      </c>
      <c r="J132" s="4" t="str">
        <f>HYPERLINK("http://141.218.60.56/~jnz1568/getInfo.php?workbook=11_01.xlsx&amp;sheet=A0&amp;row=132&amp;col=10&amp;number=16.436&amp;sourceID=11","16.436")</f>
        <v>16.436</v>
      </c>
      <c r="K132" s="4" t="str">
        <f>HYPERLINK("http://141.218.60.56/~jnz1568/getInfo.php?workbook=11_01.xlsx&amp;sheet=A0&amp;row=132&amp;col=11&amp;number=&amp;sourceID=11","")</f>
        <v/>
      </c>
      <c r="L132" s="4" t="str">
        <f>HYPERLINK("http://141.218.60.56/~jnz1568/getInfo.php?workbook=11_01.xlsx&amp;sheet=A0&amp;row=132&amp;col=12&amp;number=1.1839&amp;sourceID=11","1.1839")</f>
        <v>1.1839</v>
      </c>
      <c r="M132" s="4" t="str">
        <f>HYPERLINK("http://141.218.60.56/~jnz1568/getInfo.php?workbook=11_01.xlsx&amp;sheet=A0&amp;row=132&amp;col=13&amp;number=&amp;sourceID=11","")</f>
        <v/>
      </c>
      <c r="N132" s="4" t="str">
        <f>HYPERLINK("http://141.218.60.56/~jnz1568/getInfo.php?workbook=11_01.xlsx&amp;sheet=A0&amp;row=132&amp;col=14&amp;number=17.62&amp;sourceID=12","17.62")</f>
        <v>17.62</v>
      </c>
      <c r="O132" s="4" t="str">
        <f>HYPERLINK("http://141.218.60.56/~jnz1568/getInfo.php?workbook=11_01.xlsx&amp;sheet=A0&amp;row=132&amp;col=15&amp;number=&amp;sourceID=12","")</f>
        <v/>
      </c>
      <c r="P132" s="4" t="str">
        <f>HYPERLINK("http://141.218.60.56/~jnz1568/getInfo.php?workbook=11_01.xlsx&amp;sheet=A0&amp;row=132&amp;col=16&amp;number=&amp;sourceID=12","")</f>
        <v/>
      </c>
      <c r="Q132" s="4" t="str">
        <f>HYPERLINK("http://141.218.60.56/~jnz1568/getInfo.php?workbook=11_01.xlsx&amp;sheet=A0&amp;row=132&amp;col=17&amp;number=16.436&amp;sourceID=12","16.436")</f>
        <v>16.436</v>
      </c>
      <c r="R132" s="4" t="str">
        <f>HYPERLINK("http://141.218.60.56/~jnz1568/getInfo.php?workbook=11_01.xlsx&amp;sheet=A0&amp;row=132&amp;col=18&amp;number=&amp;sourceID=12","")</f>
        <v/>
      </c>
      <c r="S132" s="4" t="str">
        <f>HYPERLINK("http://141.218.60.56/~jnz1568/getInfo.php?workbook=11_01.xlsx&amp;sheet=A0&amp;row=132&amp;col=19&amp;number=1.1839&amp;sourceID=12","1.1839")</f>
        <v>1.1839</v>
      </c>
      <c r="T132" s="4" t="str">
        <f>HYPERLINK("http://141.218.60.56/~jnz1568/getInfo.php?workbook=11_01.xlsx&amp;sheet=A0&amp;row=132&amp;col=20&amp;number=&amp;sourceID=12","")</f>
        <v/>
      </c>
      <c r="U132" s="4" t="str">
        <f>HYPERLINK("http://141.218.60.56/~jnz1568/getInfo.php?workbook=11_01.xlsx&amp;sheet=A0&amp;row=132&amp;col=21&amp;number=1.184&amp;sourceID=30","1.184")</f>
        <v>1.184</v>
      </c>
      <c r="V132" s="4" t="str">
        <f>HYPERLINK("http://141.218.60.56/~jnz1568/getInfo.php?workbook=11_01.xlsx&amp;sheet=A0&amp;row=132&amp;col=22&amp;number=&amp;sourceID=30","")</f>
        <v/>
      </c>
      <c r="W132" s="4" t="str">
        <f>HYPERLINK("http://141.218.60.56/~jnz1568/getInfo.php?workbook=11_01.xlsx&amp;sheet=A0&amp;row=132&amp;col=23&amp;number=&amp;sourceID=30","")</f>
        <v/>
      </c>
      <c r="X132" s="4" t="str">
        <f>HYPERLINK("http://141.218.60.56/~jnz1568/getInfo.php?workbook=11_01.xlsx&amp;sheet=A0&amp;row=132&amp;col=24&amp;number=&amp;sourceID=30","")</f>
        <v/>
      </c>
      <c r="Y132" s="4" t="str">
        <f>HYPERLINK("http://141.218.60.56/~jnz1568/getInfo.php?workbook=11_01.xlsx&amp;sheet=A0&amp;row=132&amp;col=25&amp;number=1.184&amp;sourceID=30","1.184")</f>
        <v>1.184</v>
      </c>
      <c r="Z132" s="4" t="str">
        <f>HYPERLINK("http://141.218.60.56/~jnz1568/getInfo.php?workbook=11_01.xlsx&amp;sheet=A0&amp;row=132&amp;col=26&amp;number=&amp;sourceID=13","")</f>
        <v/>
      </c>
      <c r="AA132" s="4" t="str">
        <f>HYPERLINK("http://141.218.60.56/~jnz1568/getInfo.php?workbook=11_01.xlsx&amp;sheet=A0&amp;row=132&amp;col=27&amp;number=&amp;sourceID=13","")</f>
        <v/>
      </c>
      <c r="AB132" s="4" t="str">
        <f>HYPERLINK("http://141.218.60.56/~jnz1568/getInfo.php?workbook=11_01.xlsx&amp;sheet=A0&amp;row=132&amp;col=28&amp;number=&amp;sourceID=13","")</f>
        <v/>
      </c>
      <c r="AC132" s="4" t="str">
        <f>HYPERLINK("http://141.218.60.56/~jnz1568/getInfo.php?workbook=11_01.xlsx&amp;sheet=A0&amp;row=132&amp;col=29&amp;number=&amp;sourceID=13","")</f>
        <v/>
      </c>
      <c r="AD132" s="4" t="str">
        <f>HYPERLINK("http://141.218.60.56/~jnz1568/getInfo.php?workbook=11_01.xlsx&amp;sheet=A0&amp;row=132&amp;col=30&amp;number=&amp;sourceID=13","")</f>
        <v/>
      </c>
      <c r="AE132" s="4" t="str">
        <f>HYPERLINK("http://141.218.60.56/~jnz1568/getInfo.php?workbook=11_01.xlsx&amp;sheet=A0&amp;row=132&amp;col=31&amp;number=&amp;sourceID=13","")</f>
        <v/>
      </c>
    </row>
    <row r="133" spans="1:31">
      <c r="A133" s="3">
        <v>11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HYPERLINK("http://141.218.60.56/~jnz1568/getInfo.php?workbook=11_01.xlsx&amp;sheet=A0&amp;row=133&amp;col=6&amp;number=&amp;sourceID=18","")</f>
        <v/>
      </c>
      <c r="G133" s="4" t="str">
        <f>HYPERLINK("http://141.218.60.56/~jnz1568/getInfo.php?workbook=11_01.xlsx&amp;sheet=A0&amp;row=133&amp;col=7&amp;number==&amp;sourceID=11","=")</f>
        <v>=</v>
      </c>
      <c r="H133" s="4" t="str">
        <f>HYPERLINK("http://141.218.60.56/~jnz1568/getInfo.php?workbook=11_01.xlsx&amp;sheet=A0&amp;row=133&amp;col=8&amp;number=&amp;sourceID=11","")</f>
        <v/>
      </c>
      <c r="I133" s="4" t="str">
        <f>HYPERLINK("http://141.218.60.56/~jnz1568/getInfo.php?workbook=11_01.xlsx&amp;sheet=A0&amp;row=133&amp;col=9&amp;number=&amp;sourceID=11","")</f>
        <v/>
      </c>
      <c r="J133" s="4" t="str">
        <f>HYPERLINK("http://141.218.60.56/~jnz1568/getInfo.php?workbook=11_01.xlsx&amp;sheet=A0&amp;row=133&amp;col=10&amp;number=&amp;sourceID=11","")</f>
        <v/>
      </c>
      <c r="K133" s="4" t="str">
        <f>HYPERLINK("http://141.218.60.56/~jnz1568/getInfo.php?workbook=11_01.xlsx&amp;sheet=A0&amp;row=133&amp;col=11&amp;number=&amp;sourceID=11","")</f>
        <v/>
      </c>
      <c r="L133" s="4" t="str">
        <f>HYPERLINK("http://141.218.60.56/~jnz1568/getInfo.php?workbook=11_01.xlsx&amp;sheet=A0&amp;row=133&amp;col=12&amp;number=&amp;sourceID=11","")</f>
        <v/>
      </c>
      <c r="M133" s="4" t="str">
        <f>HYPERLINK("http://141.218.60.56/~jnz1568/getInfo.php?workbook=11_01.xlsx&amp;sheet=A0&amp;row=133&amp;col=13&amp;number=5.3972e-05&amp;sourceID=11","5.3972e-05")</f>
        <v>5.3972e-05</v>
      </c>
      <c r="N133" s="4" t="str">
        <f>HYPERLINK("http://141.218.60.56/~jnz1568/getInfo.php?workbook=11_01.xlsx&amp;sheet=A0&amp;row=133&amp;col=14&amp;number=5.3973e-05&amp;sourceID=12","5.3973e-05")</f>
        <v>5.3973e-05</v>
      </c>
      <c r="O133" s="4" t="str">
        <f>HYPERLINK("http://141.218.60.56/~jnz1568/getInfo.php?workbook=11_01.xlsx&amp;sheet=A0&amp;row=133&amp;col=15&amp;number=&amp;sourceID=12","")</f>
        <v/>
      </c>
      <c r="P133" s="4" t="str">
        <f>HYPERLINK("http://141.218.60.56/~jnz1568/getInfo.php?workbook=11_01.xlsx&amp;sheet=A0&amp;row=133&amp;col=16&amp;number=&amp;sourceID=12","")</f>
        <v/>
      </c>
      <c r="Q133" s="4" t="str">
        <f>HYPERLINK("http://141.218.60.56/~jnz1568/getInfo.php?workbook=11_01.xlsx&amp;sheet=A0&amp;row=133&amp;col=17&amp;number=&amp;sourceID=12","")</f>
        <v/>
      </c>
      <c r="R133" s="4" t="str">
        <f>HYPERLINK("http://141.218.60.56/~jnz1568/getInfo.php?workbook=11_01.xlsx&amp;sheet=A0&amp;row=133&amp;col=18&amp;number=&amp;sourceID=12","")</f>
        <v/>
      </c>
      <c r="S133" s="4" t="str">
        <f>HYPERLINK("http://141.218.60.56/~jnz1568/getInfo.php?workbook=11_01.xlsx&amp;sheet=A0&amp;row=133&amp;col=19&amp;number=&amp;sourceID=12","")</f>
        <v/>
      </c>
      <c r="T133" s="4" t="str">
        <f>HYPERLINK("http://141.218.60.56/~jnz1568/getInfo.php?workbook=11_01.xlsx&amp;sheet=A0&amp;row=133&amp;col=20&amp;number=5.3973e-05&amp;sourceID=12","5.3973e-05")</f>
        <v>5.3973e-05</v>
      </c>
      <c r="U133" s="4" t="str">
        <f>HYPERLINK("http://141.218.60.56/~jnz1568/getInfo.php?workbook=11_01.xlsx&amp;sheet=A0&amp;row=133&amp;col=21&amp;number=&amp;sourceID=30","")</f>
        <v/>
      </c>
      <c r="V133" s="4" t="str">
        <f>HYPERLINK("http://141.218.60.56/~jnz1568/getInfo.php?workbook=11_01.xlsx&amp;sheet=A0&amp;row=133&amp;col=22&amp;number=&amp;sourceID=30","")</f>
        <v/>
      </c>
      <c r="W133" s="4" t="str">
        <f>HYPERLINK("http://141.218.60.56/~jnz1568/getInfo.php?workbook=11_01.xlsx&amp;sheet=A0&amp;row=133&amp;col=23&amp;number=&amp;sourceID=30","")</f>
        <v/>
      </c>
      <c r="X133" s="4" t="str">
        <f>HYPERLINK("http://141.218.60.56/~jnz1568/getInfo.php?workbook=11_01.xlsx&amp;sheet=A0&amp;row=133&amp;col=24&amp;number=&amp;sourceID=30","")</f>
        <v/>
      </c>
      <c r="Y133" s="4" t="str">
        <f>HYPERLINK("http://141.218.60.56/~jnz1568/getInfo.php?workbook=11_01.xlsx&amp;sheet=A0&amp;row=133&amp;col=25&amp;number=&amp;sourceID=30","")</f>
        <v/>
      </c>
      <c r="Z133" s="4" t="str">
        <f>HYPERLINK("http://141.218.60.56/~jnz1568/getInfo.php?workbook=11_01.xlsx&amp;sheet=A0&amp;row=133&amp;col=26&amp;number=&amp;sourceID=13","")</f>
        <v/>
      </c>
      <c r="AA133" s="4" t="str">
        <f>HYPERLINK("http://141.218.60.56/~jnz1568/getInfo.php?workbook=11_01.xlsx&amp;sheet=A0&amp;row=133&amp;col=27&amp;number=&amp;sourceID=13","")</f>
        <v/>
      </c>
      <c r="AB133" s="4" t="str">
        <f>HYPERLINK("http://141.218.60.56/~jnz1568/getInfo.php?workbook=11_01.xlsx&amp;sheet=A0&amp;row=133&amp;col=28&amp;number=&amp;sourceID=13","")</f>
        <v/>
      </c>
      <c r="AC133" s="4" t="str">
        <f>HYPERLINK("http://141.218.60.56/~jnz1568/getInfo.php?workbook=11_01.xlsx&amp;sheet=A0&amp;row=133&amp;col=29&amp;number=&amp;sourceID=13","")</f>
        <v/>
      </c>
      <c r="AD133" s="4" t="str">
        <f>HYPERLINK("http://141.218.60.56/~jnz1568/getInfo.php?workbook=11_01.xlsx&amp;sheet=A0&amp;row=133&amp;col=30&amp;number=&amp;sourceID=13","")</f>
        <v/>
      </c>
      <c r="AE133" s="4" t="str">
        <f>HYPERLINK("http://141.218.60.56/~jnz1568/getInfo.php?workbook=11_01.xlsx&amp;sheet=A0&amp;row=133&amp;col=31&amp;number=&amp;sourceID=13","")</f>
        <v/>
      </c>
    </row>
    <row r="134" spans="1:31">
      <c r="A134" s="3">
        <v>11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HYPERLINK("http://141.218.60.56/~jnz1568/getInfo.php?workbook=11_01.xlsx&amp;sheet=A0&amp;row=134&amp;col=6&amp;number=&amp;sourceID=18","")</f>
        <v/>
      </c>
      <c r="G134" s="4" t="str">
        <f>HYPERLINK("http://141.218.60.56/~jnz1568/getInfo.php?workbook=11_01.xlsx&amp;sheet=A0&amp;row=134&amp;col=7&amp;number==SUM(H134:M134)&amp;sourceID=11","=SUM(H134:M134)")</f>
        <v>=SUM(H134:M134)</v>
      </c>
      <c r="H134" s="4" t="str">
        <f>HYPERLINK("http://141.218.60.56/~jnz1568/getInfo.php?workbook=11_01.xlsx&amp;sheet=A0&amp;row=134&amp;col=8&amp;number=&amp;sourceID=11","")</f>
        <v/>
      </c>
      <c r="I134" s="4" t="str">
        <f>HYPERLINK("http://141.218.60.56/~jnz1568/getInfo.php?workbook=11_01.xlsx&amp;sheet=A0&amp;row=134&amp;col=9&amp;number=&amp;sourceID=11","")</f>
        <v/>
      </c>
      <c r="J134" s="4" t="str">
        <f>HYPERLINK("http://141.218.60.56/~jnz1568/getInfo.php?workbook=11_01.xlsx&amp;sheet=A0&amp;row=134&amp;col=10&amp;number=&amp;sourceID=11","")</f>
        <v/>
      </c>
      <c r="K134" s="4" t="str">
        <f>HYPERLINK("http://141.218.60.56/~jnz1568/getInfo.php?workbook=11_01.xlsx&amp;sheet=A0&amp;row=134&amp;col=11&amp;number=7488.2&amp;sourceID=11","7488.2")</f>
        <v>7488.2</v>
      </c>
      <c r="L134" s="4" t="str">
        <f>HYPERLINK("http://141.218.60.56/~jnz1568/getInfo.php?workbook=11_01.xlsx&amp;sheet=A0&amp;row=134&amp;col=12&amp;number=&amp;sourceID=11","")</f>
        <v/>
      </c>
      <c r="M134" s="4" t="str">
        <f>HYPERLINK("http://141.218.60.56/~jnz1568/getInfo.php?workbook=11_01.xlsx&amp;sheet=A0&amp;row=134&amp;col=13&amp;number=&amp;sourceID=11","")</f>
        <v/>
      </c>
      <c r="N134" s="4" t="str">
        <f>HYPERLINK("http://141.218.60.56/~jnz1568/getInfo.php?workbook=11_01.xlsx&amp;sheet=A0&amp;row=134&amp;col=14&amp;number=7488.2&amp;sourceID=12","7488.2")</f>
        <v>7488.2</v>
      </c>
      <c r="O134" s="4" t="str">
        <f>HYPERLINK("http://141.218.60.56/~jnz1568/getInfo.php?workbook=11_01.xlsx&amp;sheet=A0&amp;row=134&amp;col=15&amp;number=&amp;sourceID=12","")</f>
        <v/>
      </c>
      <c r="P134" s="4" t="str">
        <f>HYPERLINK("http://141.218.60.56/~jnz1568/getInfo.php?workbook=11_01.xlsx&amp;sheet=A0&amp;row=134&amp;col=16&amp;number=&amp;sourceID=12","")</f>
        <v/>
      </c>
      <c r="Q134" s="4" t="str">
        <f>HYPERLINK("http://141.218.60.56/~jnz1568/getInfo.php?workbook=11_01.xlsx&amp;sheet=A0&amp;row=134&amp;col=17&amp;number=&amp;sourceID=12","")</f>
        <v/>
      </c>
      <c r="R134" s="4" t="str">
        <f>HYPERLINK("http://141.218.60.56/~jnz1568/getInfo.php?workbook=11_01.xlsx&amp;sheet=A0&amp;row=134&amp;col=18&amp;number=7488.2&amp;sourceID=12","7488.2")</f>
        <v>7488.2</v>
      </c>
      <c r="S134" s="4" t="str">
        <f>HYPERLINK("http://141.218.60.56/~jnz1568/getInfo.php?workbook=11_01.xlsx&amp;sheet=A0&amp;row=134&amp;col=19&amp;number=&amp;sourceID=12","")</f>
        <v/>
      </c>
      <c r="T134" s="4" t="str">
        <f>HYPERLINK("http://141.218.60.56/~jnz1568/getInfo.php?workbook=11_01.xlsx&amp;sheet=A0&amp;row=134&amp;col=20&amp;number=&amp;sourceID=12","")</f>
        <v/>
      </c>
      <c r="U134" s="4" t="str">
        <f>HYPERLINK("http://141.218.60.56/~jnz1568/getInfo.php?workbook=11_01.xlsx&amp;sheet=A0&amp;row=134&amp;col=21&amp;number=7488&amp;sourceID=30","7488")</f>
        <v>7488</v>
      </c>
      <c r="V134" s="4" t="str">
        <f>HYPERLINK("http://141.218.60.56/~jnz1568/getInfo.php?workbook=11_01.xlsx&amp;sheet=A0&amp;row=134&amp;col=22&amp;number=&amp;sourceID=30","")</f>
        <v/>
      </c>
      <c r="W134" s="4" t="str">
        <f>HYPERLINK("http://141.218.60.56/~jnz1568/getInfo.php?workbook=11_01.xlsx&amp;sheet=A0&amp;row=134&amp;col=23&amp;number=&amp;sourceID=30","")</f>
        <v/>
      </c>
      <c r="X134" s="4" t="str">
        <f>HYPERLINK("http://141.218.60.56/~jnz1568/getInfo.php?workbook=11_01.xlsx&amp;sheet=A0&amp;row=134&amp;col=24&amp;number=7488&amp;sourceID=30","7488")</f>
        <v>7488</v>
      </c>
      <c r="Y134" s="4" t="str">
        <f>HYPERLINK("http://141.218.60.56/~jnz1568/getInfo.php?workbook=11_01.xlsx&amp;sheet=A0&amp;row=134&amp;col=25&amp;number=&amp;sourceID=30","")</f>
        <v/>
      </c>
      <c r="Z134" s="4" t="str">
        <f>HYPERLINK("http://141.218.60.56/~jnz1568/getInfo.php?workbook=11_01.xlsx&amp;sheet=A0&amp;row=134&amp;col=26&amp;number=&amp;sourceID=13","")</f>
        <v/>
      </c>
      <c r="AA134" s="4" t="str">
        <f>HYPERLINK("http://141.218.60.56/~jnz1568/getInfo.php?workbook=11_01.xlsx&amp;sheet=A0&amp;row=134&amp;col=27&amp;number=&amp;sourceID=13","")</f>
        <v/>
      </c>
      <c r="AB134" s="4" t="str">
        <f>HYPERLINK("http://141.218.60.56/~jnz1568/getInfo.php?workbook=11_01.xlsx&amp;sheet=A0&amp;row=134&amp;col=28&amp;number=&amp;sourceID=13","")</f>
        <v/>
      </c>
      <c r="AC134" s="4" t="str">
        <f>HYPERLINK("http://141.218.60.56/~jnz1568/getInfo.php?workbook=11_01.xlsx&amp;sheet=A0&amp;row=134&amp;col=29&amp;number=&amp;sourceID=13","")</f>
        <v/>
      </c>
      <c r="AD134" s="4" t="str">
        <f>HYPERLINK("http://141.218.60.56/~jnz1568/getInfo.php?workbook=11_01.xlsx&amp;sheet=A0&amp;row=134&amp;col=30&amp;number=&amp;sourceID=13","")</f>
        <v/>
      </c>
      <c r="AE134" s="4" t="str">
        <f>HYPERLINK("http://141.218.60.56/~jnz1568/getInfo.php?workbook=11_01.xlsx&amp;sheet=A0&amp;row=134&amp;col=31&amp;number=&amp;sourceID=13","")</f>
        <v/>
      </c>
    </row>
    <row r="135" spans="1:31">
      <c r="A135" s="3">
        <v>11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HYPERLINK("http://141.218.60.56/~jnz1568/getInfo.php?workbook=11_01.xlsx&amp;sheet=A0&amp;row=135&amp;col=6&amp;number=&amp;sourceID=18","")</f>
        <v/>
      </c>
      <c r="G135" s="4" t="str">
        <f>HYPERLINK("http://141.218.60.56/~jnz1568/getInfo.php?workbook=11_01.xlsx&amp;sheet=A0&amp;row=135&amp;col=7&amp;number==&amp;sourceID=11","=")</f>
        <v>=</v>
      </c>
      <c r="H135" s="4" t="str">
        <f>HYPERLINK("http://141.218.60.56/~jnz1568/getInfo.php?workbook=11_01.xlsx&amp;sheet=A0&amp;row=135&amp;col=8&amp;number=6315900000&amp;sourceID=11","6315900000")</f>
        <v>6315900000</v>
      </c>
      <c r="I135" s="4" t="str">
        <f>HYPERLINK("http://141.218.60.56/~jnz1568/getInfo.php?workbook=11_01.xlsx&amp;sheet=A0&amp;row=135&amp;col=9&amp;number=&amp;sourceID=11","")</f>
        <v/>
      </c>
      <c r="J135" s="4" t="str">
        <f>HYPERLINK("http://141.218.60.56/~jnz1568/getInfo.php?workbook=11_01.xlsx&amp;sheet=A0&amp;row=135&amp;col=10&amp;number=&amp;sourceID=11","")</f>
        <v/>
      </c>
      <c r="K135" s="4" t="str">
        <f>HYPERLINK("http://141.218.60.56/~jnz1568/getInfo.php?workbook=11_01.xlsx&amp;sheet=A0&amp;row=135&amp;col=11&amp;number=&amp;sourceID=11","")</f>
        <v/>
      </c>
      <c r="L135" s="4" t="str">
        <f>HYPERLINK("http://141.218.60.56/~jnz1568/getInfo.php?workbook=11_01.xlsx&amp;sheet=A0&amp;row=135&amp;col=12&amp;number=&amp;sourceID=11","")</f>
        <v/>
      </c>
      <c r="M135" s="4" t="str">
        <f>HYPERLINK("http://141.218.60.56/~jnz1568/getInfo.php?workbook=11_01.xlsx&amp;sheet=A0&amp;row=135&amp;col=13&amp;number=&amp;sourceID=11","")</f>
        <v/>
      </c>
      <c r="N135" s="4" t="str">
        <f>HYPERLINK("http://141.218.60.56/~jnz1568/getInfo.php?workbook=11_01.xlsx&amp;sheet=A0&amp;row=135&amp;col=14&amp;number=6316000000&amp;sourceID=12","6316000000")</f>
        <v>6316000000</v>
      </c>
      <c r="O135" s="4" t="str">
        <f>HYPERLINK("http://141.218.60.56/~jnz1568/getInfo.php?workbook=11_01.xlsx&amp;sheet=A0&amp;row=135&amp;col=15&amp;number=6316000000&amp;sourceID=12","6316000000")</f>
        <v>6316000000</v>
      </c>
      <c r="P135" s="4" t="str">
        <f>HYPERLINK("http://141.218.60.56/~jnz1568/getInfo.php?workbook=11_01.xlsx&amp;sheet=A0&amp;row=135&amp;col=16&amp;number=&amp;sourceID=12","")</f>
        <v/>
      </c>
      <c r="Q135" s="4" t="str">
        <f>HYPERLINK("http://141.218.60.56/~jnz1568/getInfo.php?workbook=11_01.xlsx&amp;sheet=A0&amp;row=135&amp;col=17&amp;number=&amp;sourceID=12","")</f>
        <v/>
      </c>
      <c r="R135" s="4" t="str">
        <f>HYPERLINK("http://141.218.60.56/~jnz1568/getInfo.php?workbook=11_01.xlsx&amp;sheet=A0&amp;row=135&amp;col=18&amp;number=&amp;sourceID=12","")</f>
        <v/>
      </c>
      <c r="S135" s="4" t="str">
        <f>HYPERLINK("http://141.218.60.56/~jnz1568/getInfo.php?workbook=11_01.xlsx&amp;sheet=A0&amp;row=135&amp;col=19&amp;number=&amp;sourceID=12","")</f>
        <v/>
      </c>
      <c r="T135" s="4" t="str">
        <f>HYPERLINK("http://141.218.60.56/~jnz1568/getInfo.php?workbook=11_01.xlsx&amp;sheet=A0&amp;row=135&amp;col=20&amp;number=&amp;sourceID=12","")</f>
        <v/>
      </c>
      <c r="U135" s="4" t="str">
        <f>HYPERLINK("http://141.218.60.56/~jnz1568/getInfo.php?workbook=11_01.xlsx&amp;sheet=A0&amp;row=135&amp;col=21&amp;number=6316000000&amp;sourceID=30","6316000000")</f>
        <v>6316000000</v>
      </c>
      <c r="V135" s="4" t="str">
        <f>HYPERLINK("http://141.218.60.56/~jnz1568/getInfo.php?workbook=11_01.xlsx&amp;sheet=A0&amp;row=135&amp;col=22&amp;number=6316000000&amp;sourceID=30","6316000000")</f>
        <v>6316000000</v>
      </c>
      <c r="W135" s="4" t="str">
        <f>HYPERLINK("http://141.218.60.56/~jnz1568/getInfo.php?workbook=11_01.xlsx&amp;sheet=A0&amp;row=135&amp;col=23&amp;number=&amp;sourceID=30","")</f>
        <v/>
      </c>
      <c r="X135" s="4" t="str">
        <f>HYPERLINK("http://141.218.60.56/~jnz1568/getInfo.php?workbook=11_01.xlsx&amp;sheet=A0&amp;row=135&amp;col=24&amp;number=&amp;sourceID=30","")</f>
        <v/>
      </c>
      <c r="Y135" s="4" t="str">
        <f>HYPERLINK("http://141.218.60.56/~jnz1568/getInfo.php?workbook=11_01.xlsx&amp;sheet=A0&amp;row=135&amp;col=25&amp;number=&amp;sourceID=30","")</f>
        <v/>
      </c>
      <c r="Z135" s="4" t="str">
        <f>HYPERLINK("http://141.218.60.56/~jnz1568/getInfo.php?workbook=11_01.xlsx&amp;sheet=A0&amp;row=135&amp;col=26&amp;number=&amp;sourceID=13","")</f>
        <v/>
      </c>
      <c r="AA135" s="4" t="str">
        <f>HYPERLINK("http://141.218.60.56/~jnz1568/getInfo.php?workbook=11_01.xlsx&amp;sheet=A0&amp;row=135&amp;col=27&amp;number=&amp;sourceID=13","")</f>
        <v/>
      </c>
      <c r="AB135" s="4" t="str">
        <f>HYPERLINK("http://141.218.60.56/~jnz1568/getInfo.php?workbook=11_01.xlsx&amp;sheet=A0&amp;row=135&amp;col=28&amp;number=&amp;sourceID=13","")</f>
        <v/>
      </c>
      <c r="AC135" s="4" t="str">
        <f>HYPERLINK("http://141.218.60.56/~jnz1568/getInfo.php?workbook=11_01.xlsx&amp;sheet=A0&amp;row=135&amp;col=29&amp;number=&amp;sourceID=13","")</f>
        <v/>
      </c>
      <c r="AD135" s="4" t="str">
        <f>HYPERLINK("http://141.218.60.56/~jnz1568/getInfo.php?workbook=11_01.xlsx&amp;sheet=A0&amp;row=135&amp;col=30&amp;number=&amp;sourceID=13","")</f>
        <v/>
      </c>
      <c r="AE135" s="4" t="str">
        <f>HYPERLINK("http://141.218.60.56/~jnz1568/getInfo.php?workbook=11_01.xlsx&amp;sheet=A0&amp;row=135&amp;col=31&amp;number=&amp;sourceID=13","")</f>
        <v/>
      </c>
    </row>
    <row r="136" spans="1:31">
      <c r="A136" s="3">
        <v>11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HYPERLINK("http://141.218.60.56/~jnz1568/getInfo.php?workbook=11_01.xlsx&amp;sheet=A0&amp;row=136&amp;col=6&amp;number=&amp;sourceID=18","")</f>
        <v/>
      </c>
      <c r="G136" s="4" t="str">
        <f>HYPERLINK("http://141.218.60.56/~jnz1568/getInfo.php?workbook=11_01.xlsx&amp;sheet=A0&amp;row=136&amp;col=7&amp;number==&amp;sourceID=11","=")</f>
        <v>=</v>
      </c>
      <c r="H136" s="4" t="str">
        <f>HYPERLINK("http://141.218.60.56/~jnz1568/getInfo.php?workbook=11_01.xlsx&amp;sheet=A0&amp;row=136&amp;col=8&amp;number=&amp;sourceID=11","")</f>
        <v/>
      </c>
      <c r="I136" s="4" t="str">
        <f>HYPERLINK("http://141.218.60.56/~jnz1568/getInfo.php?workbook=11_01.xlsx&amp;sheet=A0&amp;row=136&amp;col=9&amp;number=&amp;sourceID=11","")</f>
        <v/>
      </c>
      <c r="J136" s="4" t="str">
        <f>HYPERLINK("http://141.218.60.56/~jnz1568/getInfo.php?workbook=11_01.xlsx&amp;sheet=A0&amp;row=136&amp;col=10&amp;number=&amp;sourceID=11","")</f>
        <v/>
      </c>
      <c r="K136" s="4" t="str">
        <f>HYPERLINK("http://141.218.60.56/~jnz1568/getInfo.php?workbook=11_01.xlsx&amp;sheet=A0&amp;row=136&amp;col=11&amp;number=28.315&amp;sourceID=11","28.315")</f>
        <v>28.315</v>
      </c>
      <c r="L136" s="4" t="str">
        <f>HYPERLINK("http://141.218.60.56/~jnz1568/getInfo.php?workbook=11_01.xlsx&amp;sheet=A0&amp;row=136&amp;col=12&amp;number=&amp;sourceID=11","")</f>
        <v/>
      </c>
      <c r="M136" s="4" t="str">
        <f>HYPERLINK("http://141.218.60.56/~jnz1568/getInfo.php?workbook=11_01.xlsx&amp;sheet=A0&amp;row=136&amp;col=13&amp;number=&amp;sourceID=11","")</f>
        <v/>
      </c>
      <c r="N136" s="4" t="str">
        <f>HYPERLINK("http://141.218.60.56/~jnz1568/getInfo.php?workbook=11_01.xlsx&amp;sheet=A0&amp;row=136&amp;col=14&amp;number=28.312&amp;sourceID=12","28.312")</f>
        <v>28.312</v>
      </c>
      <c r="O136" s="4" t="str">
        <f>HYPERLINK("http://141.218.60.56/~jnz1568/getInfo.php?workbook=11_01.xlsx&amp;sheet=A0&amp;row=136&amp;col=15&amp;number=&amp;sourceID=12","")</f>
        <v/>
      </c>
      <c r="P136" s="4" t="str">
        <f>HYPERLINK("http://141.218.60.56/~jnz1568/getInfo.php?workbook=11_01.xlsx&amp;sheet=A0&amp;row=136&amp;col=16&amp;number=&amp;sourceID=12","")</f>
        <v/>
      </c>
      <c r="Q136" s="4" t="str">
        <f>HYPERLINK("http://141.218.60.56/~jnz1568/getInfo.php?workbook=11_01.xlsx&amp;sheet=A0&amp;row=136&amp;col=17&amp;number=&amp;sourceID=12","")</f>
        <v/>
      </c>
      <c r="R136" s="4" t="str">
        <f>HYPERLINK("http://141.218.60.56/~jnz1568/getInfo.php?workbook=11_01.xlsx&amp;sheet=A0&amp;row=136&amp;col=18&amp;number=28.312&amp;sourceID=12","28.312")</f>
        <v>28.312</v>
      </c>
      <c r="S136" s="4" t="str">
        <f>HYPERLINK("http://141.218.60.56/~jnz1568/getInfo.php?workbook=11_01.xlsx&amp;sheet=A0&amp;row=136&amp;col=19&amp;number=&amp;sourceID=12","")</f>
        <v/>
      </c>
      <c r="T136" s="4" t="str">
        <f>HYPERLINK("http://141.218.60.56/~jnz1568/getInfo.php?workbook=11_01.xlsx&amp;sheet=A0&amp;row=136&amp;col=20&amp;number=&amp;sourceID=12","")</f>
        <v/>
      </c>
      <c r="U136" s="4" t="str">
        <f>HYPERLINK("http://141.218.60.56/~jnz1568/getInfo.php?workbook=11_01.xlsx&amp;sheet=A0&amp;row=136&amp;col=21&amp;number=28.31&amp;sourceID=30","28.31")</f>
        <v>28.31</v>
      </c>
      <c r="V136" s="4" t="str">
        <f>HYPERLINK("http://141.218.60.56/~jnz1568/getInfo.php?workbook=11_01.xlsx&amp;sheet=A0&amp;row=136&amp;col=22&amp;number=&amp;sourceID=30","")</f>
        <v/>
      </c>
      <c r="W136" s="4" t="str">
        <f>HYPERLINK("http://141.218.60.56/~jnz1568/getInfo.php?workbook=11_01.xlsx&amp;sheet=A0&amp;row=136&amp;col=23&amp;number=&amp;sourceID=30","")</f>
        <v/>
      </c>
      <c r="X136" s="4" t="str">
        <f>HYPERLINK("http://141.218.60.56/~jnz1568/getInfo.php?workbook=11_01.xlsx&amp;sheet=A0&amp;row=136&amp;col=24&amp;number=28.31&amp;sourceID=30","28.31")</f>
        <v>28.31</v>
      </c>
      <c r="Y136" s="4" t="str">
        <f>HYPERLINK("http://141.218.60.56/~jnz1568/getInfo.php?workbook=11_01.xlsx&amp;sheet=A0&amp;row=136&amp;col=25&amp;number=&amp;sourceID=30","")</f>
        <v/>
      </c>
      <c r="Z136" s="4" t="str">
        <f>HYPERLINK("http://141.218.60.56/~jnz1568/getInfo.php?workbook=11_01.xlsx&amp;sheet=A0&amp;row=136&amp;col=26&amp;number=&amp;sourceID=13","")</f>
        <v/>
      </c>
      <c r="AA136" s="4" t="str">
        <f>HYPERLINK("http://141.218.60.56/~jnz1568/getInfo.php?workbook=11_01.xlsx&amp;sheet=A0&amp;row=136&amp;col=27&amp;number=&amp;sourceID=13","")</f>
        <v/>
      </c>
      <c r="AB136" s="4" t="str">
        <f>HYPERLINK("http://141.218.60.56/~jnz1568/getInfo.php?workbook=11_01.xlsx&amp;sheet=A0&amp;row=136&amp;col=28&amp;number=&amp;sourceID=13","")</f>
        <v/>
      </c>
      <c r="AC136" s="4" t="str">
        <f>HYPERLINK("http://141.218.60.56/~jnz1568/getInfo.php?workbook=11_01.xlsx&amp;sheet=A0&amp;row=136&amp;col=29&amp;number=&amp;sourceID=13","")</f>
        <v/>
      </c>
      <c r="AD136" s="4" t="str">
        <f>HYPERLINK("http://141.218.60.56/~jnz1568/getInfo.php?workbook=11_01.xlsx&amp;sheet=A0&amp;row=136&amp;col=30&amp;number=&amp;sourceID=13","")</f>
        <v/>
      </c>
      <c r="AE136" s="4" t="str">
        <f>HYPERLINK("http://141.218.60.56/~jnz1568/getInfo.php?workbook=11_01.xlsx&amp;sheet=A0&amp;row=136&amp;col=31&amp;number=&amp;sourceID=13","")</f>
        <v/>
      </c>
    </row>
    <row r="137" spans="1:31">
      <c r="A137" s="3">
        <v>11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HYPERLINK("http://141.218.60.56/~jnz1568/getInfo.php?workbook=11_01.xlsx&amp;sheet=A0&amp;row=137&amp;col=6&amp;number=&amp;sourceID=18","")</f>
        <v/>
      </c>
      <c r="G137" s="4" t="str">
        <f>HYPERLINK("http://141.218.60.56/~jnz1568/getInfo.php?workbook=11_01.xlsx&amp;sheet=A0&amp;row=137&amp;col=7&amp;number==&amp;sourceID=11","=")</f>
        <v>=</v>
      </c>
      <c r="H137" s="4" t="str">
        <f>HYPERLINK("http://141.218.60.56/~jnz1568/getInfo.php?workbook=11_01.xlsx&amp;sheet=A0&amp;row=137&amp;col=8&amp;number=12788000000&amp;sourceID=11","12788000000")</f>
        <v>12788000000</v>
      </c>
      <c r="I137" s="4" t="str">
        <f>HYPERLINK("http://141.218.60.56/~jnz1568/getInfo.php?workbook=11_01.xlsx&amp;sheet=A0&amp;row=137&amp;col=9&amp;number=&amp;sourceID=11","")</f>
        <v/>
      </c>
      <c r="J137" s="4" t="str">
        <f>HYPERLINK("http://141.218.60.56/~jnz1568/getInfo.php?workbook=11_01.xlsx&amp;sheet=A0&amp;row=137&amp;col=10&amp;number=&amp;sourceID=11","")</f>
        <v/>
      </c>
      <c r="K137" s="4" t="str">
        <f>HYPERLINK("http://141.218.60.56/~jnz1568/getInfo.php?workbook=11_01.xlsx&amp;sheet=A0&amp;row=137&amp;col=11&amp;number=&amp;sourceID=11","")</f>
        <v/>
      </c>
      <c r="L137" s="4" t="str">
        <f>HYPERLINK("http://141.218.60.56/~jnz1568/getInfo.php?workbook=11_01.xlsx&amp;sheet=A0&amp;row=137&amp;col=12&amp;number=1099.7&amp;sourceID=11","1099.7")</f>
        <v>1099.7</v>
      </c>
      <c r="M137" s="4" t="str">
        <f>HYPERLINK("http://141.218.60.56/~jnz1568/getInfo.php?workbook=11_01.xlsx&amp;sheet=A0&amp;row=137&amp;col=13&amp;number=&amp;sourceID=11","")</f>
        <v/>
      </c>
      <c r="N137" s="4" t="str">
        <f>HYPERLINK("http://141.218.60.56/~jnz1568/getInfo.php?workbook=11_01.xlsx&amp;sheet=A0&amp;row=137&amp;col=14&amp;number=12788000000&amp;sourceID=12","12788000000")</f>
        <v>12788000000</v>
      </c>
      <c r="O137" s="4" t="str">
        <f>HYPERLINK("http://141.218.60.56/~jnz1568/getInfo.php?workbook=11_01.xlsx&amp;sheet=A0&amp;row=137&amp;col=15&amp;number=12788000000&amp;sourceID=12","12788000000")</f>
        <v>12788000000</v>
      </c>
      <c r="P137" s="4" t="str">
        <f>HYPERLINK("http://141.218.60.56/~jnz1568/getInfo.php?workbook=11_01.xlsx&amp;sheet=A0&amp;row=137&amp;col=16&amp;number=&amp;sourceID=12","")</f>
        <v/>
      </c>
      <c r="Q137" s="4" t="str">
        <f>HYPERLINK("http://141.218.60.56/~jnz1568/getInfo.php?workbook=11_01.xlsx&amp;sheet=A0&amp;row=137&amp;col=17&amp;number=&amp;sourceID=12","")</f>
        <v/>
      </c>
      <c r="R137" s="4" t="str">
        <f>HYPERLINK("http://141.218.60.56/~jnz1568/getInfo.php?workbook=11_01.xlsx&amp;sheet=A0&amp;row=137&amp;col=18&amp;number=&amp;sourceID=12","")</f>
        <v/>
      </c>
      <c r="S137" s="4" t="str">
        <f>HYPERLINK("http://141.218.60.56/~jnz1568/getInfo.php?workbook=11_01.xlsx&amp;sheet=A0&amp;row=137&amp;col=19&amp;number=1099.7&amp;sourceID=12","1099.7")</f>
        <v>1099.7</v>
      </c>
      <c r="T137" s="4" t="str">
        <f>HYPERLINK("http://141.218.60.56/~jnz1568/getInfo.php?workbook=11_01.xlsx&amp;sheet=A0&amp;row=137&amp;col=20&amp;number=&amp;sourceID=12","")</f>
        <v/>
      </c>
      <c r="U137" s="4" t="str">
        <f>HYPERLINK("http://141.218.60.56/~jnz1568/getInfo.php?workbook=11_01.xlsx&amp;sheet=A0&amp;row=137&amp;col=21&amp;number=12790001100&amp;sourceID=30","12790001100")</f>
        <v>12790001100</v>
      </c>
      <c r="V137" s="4" t="str">
        <f>HYPERLINK("http://141.218.60.56/~jnz1568/getInfo.php?workbook=11_01.xlsx&amp;sheet=A0&amp;row=137&amp;col=22&amp;number=12790000000&amp;sourceID=30","12790000000")</f>
        <v>12790000000</v>
      </c>
      <c r="W137" s="4" t="str">
        <f>HYPERLINK("http://141.218.60.56/~jnz1568/getInfo.php?workbook=11_01.xlsx&amp;sheet=A0&amp;row=137&amp;col=23&amp;number=&amp;sourceID=30","")</f>
        <v/>
      </c>
      <c r="X137" s="4" t="str">
        <f>HYPERLINK("http://141.218.60.56/~jnz1568/getInfo.php?workbook=11_01.xlsx&amp;sheet=A0&amp;row=137&amp;col=24&amp;number=&amp;sourceID=30","")</f>
        <v/>
      </c>
      <c r="Y137" s="4" t="str">
        <f>HYPERLINK("http://141.218.60.56/~jnz1568/getInfo.php?workbook=11_01.xlsx&amp;sheet=A0&amp;row=137&amp;col=25&amp;number=1100&amp;sourceID=30","1100")</f>
        <v>1100</v>
      </c>
      <c r="Z137" s="4" t="str">
        <f>HYPERLINK("http://141.218.60.56/~jnz1568/getInfo.php?workbook=11_01.xlsx&amp;sheet=A0&amp;row=137&amp;col=26&amp;number=&amp;sourceID=13","")</f>
        <v/>
      </c>
      <c r="AA137" s="4" t="str">
        <f>HYPERLINK("http://141.218.60.56/~jnz1568/getInfo.php?workbook=11_01.xlsx&amp;sheet=A0&amp;row=137&amp;col=27&amp;number=&amp;sourceID=13","")</f>
        <v/>
      </c>
      <c r="AB137" s="4" t="str">
        <f>HYPERLINK("http://141.218.60.56/~jnz1568/getInfo.php?workbook=11_01.xlsx&amp;sheet=A0&amp;row=137&amp;col=28&amp;number=&amp;sourceID=13","")</f>
        <v/>
      </c>
      <c r="AC137" s="4" t="str">
        <f>HYPERLINK("http://141.218.60.56/~jnz1568/getInfo.php?workbook=11_01.xlsx&amp;sheet=A0&amp;row=137&amp;col=29&amp;number=&amp;sourceID=13","")</f>
        <v/>
      </c>
      <c r="AD137" s="4" t="str">
        <f>HYPERLINK("http://141.218.60.56/~jnz1568/getInfo.php?workbook=11_01.xlsx&amp;sheet=A0&amp;row=137&amp;col=30&amp;number=&amp;sourceID=13","")</f>
        <v/>
      </c>
      <c r="AE137" s="4" t="str">
        <f>HYPERLINK("http://141.218.60.56/~jnz1568/getInfo.php?workbook=11_01.xlsx&amp;sheet=A0&amp;row=137&amp;col=31&amp;number=&amp;sourceID=13","")</f>
        <v/>
      </c>
    </row>
    <row r="138" spans="1:31">
      <c r="A138" s="3">
        <v>11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HYPERLINK("http://141.218.60.56/~jnz1568/getInfo.php?workbook=11_01.xlsx&amp;sheet=A0&amp;row=138&amp;col=6&amp;number=&amp;sourceID=18","")</f>
        <v/>
      </c>
      <c r="G138" s="4" t="str">
        <f>HYPERLINK("http://141.218.60.56/~jnz1568/getInfo.php?workbook=11_01.xlsx&amp;sheet=A0&amp;row=138&amp;col=7&amp;number==&amp;sourceID=11","=")</f>
        <v>=</v>
      </c>
      <c r="H138" s="4" t="str">
        <f>HYPERLINK("http://141.218.60.56/~jnz1568/getInfo.php?workbook=11_01.xlsx&amp;sheet=A0&amp;row=138&amp;col=8&amp;number=4431200000&amp;sourceID=11","4431200000")</f>
        <v>4431200000</v>
      </c>
      <c r="I138" s="4" t="str">
        <f>HYPERLINK("http://141.218.60.56/~jnz1568/getInfo.php?workbook=11_01.xlsx&amp;sheet=A0&amp;row=138&amp;col=9&amp;number=&amp;sourceID=11","")</f>
        <v/>
      </c>
      <c r="J138" s="4" t="str">
        <f>HYPERLINK("http://141.218.60.56/~jnz1568/getInfo.php?workbook=11_01.xlsx&amp;sheet=A0&amp;row=138&amp;col=10&amp;number=&amp;sourceID=11","")</f>
        <v/>
      </c>
      <c r="K138" s="4" t="str">
        <f>HYPERLINK("http://141.218.60.56/~jnz1568/getInfo.php?workbook=11_01.xlsx&amp;sheet=A0&amp;row=138&amp;col=11&amp;number=&amp;sourceID=11","")</f>
        <v/>
      </c>
      <c r="L138" s="4" t="str">
        <f>HYPERLINK("http://141.218.60.56/~jnz1568/getInfo.php?workbook=11_01.xlsx&amp;sheet=A0&amp;row=138&amp;col=12&amp;number=&amp;sourceID=11","")</f>
        <v/>
      </c>
      <c r="M138" s="4" t="str">
        <f>HYPERLINK("http://141.218.60.56/~jnz1568/getInfo.php?workbook=11_01.xlsx&amp;sheet=A0&amp;row=138&amp;col=13&amp;number=&amp;sourceID=11","")</f>
        <v/>
      </c>
      <c r="N138" s="4" t="str">
        <f>HYPERLINK("http://141.218.60.56/~jnz1568/getInfo.php?workbook=11_01.xlsx&amp;sheet=A0&amp;row=138&amp;col=14&amp;number=4431300000&amp;sourceID=12","4431300000")</f>
        <v>4431300000</v>
      </c>
      <c r="O138" s="4" t="str">
        <f>HYPERLINK("http://141.218.60.56/~jnz1568/getInfo.php?workbook=11_01.xlsx&amp;sheet=A0&amp;row=138&amp;col=15&amp;number=4431300000&amp;sourceID=12","4431300000")</f>
        <v>4431300000</v>
      </c>
      <c r="P138" s="4" t="str">
        <f>HYPERLINK("http://141.218.60.56/~jnz1568/getInfo.php?workbook=11_01.xlsx&amp;sheet=A0&amp;row=138&amp;col=16&amp;number=&amp;sourceID=12","")</f>
        <v/>
      </c>
      <c r="Q138" s="4" t="str">
        <f>HYPERLINK("http://141.218.60.56/~jnz1568/getInfo.php?workbook=11_01.xlsx&amp;sheet=A0&amp;row=138&amp;col=17&amp;number=&amp;sourceID=12","")</f>
        <v/>
      </c>
      <c r="R138" s="4" t="str">
        <f>HYPERLINK("http://141.218.60.56/~jnz1568/getInfo.php?workbook=11_01.xlsx&amp;sheet=A0&amp;row=138&amp;col=18&amp;number=&amp;sourceID=12","")</f>
        <v/>
      </c>
      <c r="S138" s="4" t="str">
        <f>HYPERLINK("http://141.218.60.56/~jnz1568/getInfo.php?workbook=11_01.xlsx&amp;sheet=A0&amp;row=138&amp;col=19&amp;number=&amp;sourceID=12","")</f>
        <v/>
      </c>
      <c r="T138" s="4" t="str">
        <f>HYPERLINK("http://141.218.60.56/~jnz1568/getInfo.php?workbook=11_01.xlsx&amp;sheet=A0&amp;row=138&amp;col=20&amp;number=&amp;sourceID=12","")</f>
        <v/>
      </c>
      <c r="U138" s="4" t="str">
        <f>HYPERLINK("http://141.218.60.56/~jnz1568/getInfo.php?workbook=11_01.xlsx&amp;sheet=A0&amp;row=138&amp;col=21&amp;number=4431000000&amp;sourceID=30","4431000000")</f>
        <v>4431000000</v>
      </c>
      <c r="V138" s="4" t="str">
        <f>HYPERLINK("http://141.218.60.56/~jnz1568/getInfo.php?workbook=11_01.xlsx&amp;sheet=A0&amp;row=138&amp;col=22&amp;number=4431000000&amp;sourceID=30","4431000000")</f>
        <v>4431000000</v>
      </c>
      <c r="W138" s="4" t="str">
        <f>HYPERLINK("http://141.218.60.56/~jnz1568/getInfo.php?workbook=11_01.xlsx&amp;sheet=A0&amp;row=138&amp;col=23&amp;number=&amp;sourceID=30","")</f>
        <v/>
      </c>
      <c r="X138" s="4" t="str">
        <f>HYPERLINK("http://141.218.60.56/~jnz1568/getInfo.php?workbook=11_01.xlsx&amp;sheet=A0&amp;row=138&amp;col=24&amp;number=&amp;sourceID=30","")</f>
        <v/>
      </c>
      <c r="Y138" s="4" t="str">
        <f>HYPERLINK("http://141.218.60.56/~jnz1568/getInfo.php?workbook=11_01.xlsx&amp;sheet=A0&amp;row=138&amp;col=25&amp;number=&amp;sourceID=30","")</f>
        <v/>
      </c>
      <c r="Z138" s="4" t="str">
        <f>HYPERLINK("http://141.218.60.56/~jnz1568/getInfo.php?workbook=11_01.xlsx&amp;sheet=A0&amp;row=138&amp;col=26&amp;number=&amp;sourceID=13","")</f>
        <v/>
      </c>
      <c r="AA138" s="4" t="str">
        <f>HYPERLINK("http://141.218.60.56/~jnz1568/getInfo.php?workbook=11_01.xlsx&amp;sheet=A0&amp;row=138&amp;col=27&amp;number=&amp;sourceID=13","")</f>
        <v/>
      </c>
      <c r="AB138" s="4" t="str">
        <f>HYPERLINK("http://141.218.60.56/~jnz1568/getInfo.php?workbook=11_01.xlsx&amp;sheet=A0&amp;row=138&amp;col=28&amp;number=&amp;sourceID=13","")</f>
        <v/>
      </c>
      <c r="AC138" s="4" t="str">
        <f>HYPERLINK("http://141.218.60.56/~jnz1568/getInfo.php?workbook=11_01.xlsx&amp;sheet=A0&amp;row=138&amp;col=29&amp;number=&amp;sourceID=13","")</f>
        <v/>
      </c>
      <c r="AD138" s="4" t="str">
        <f>HYPERLINK("http://141.218.60.56/~jnz1568/getInfo.php?workbook=11_01.xlsx&amp;sheet=A0&amp;row=138&amp;col=30&amp;number=&amp;sourceID=13","")</f>
        <v/>
      </c>
      <c r="AE138" s="4" t="str">
        <f>HYPERLINK("http://141.218.60.56/~jnz1568/getInfo.php?workbook=11_01.xlsx&amp;sheet=A0&amp;row=138&amp;col=31&amp;number=&amp;sourceID=13","")</f>
        <v/>
      </c>
    </row>
    <row r="139" spans="1:31">
      <c r="A139" s="3">
        <v>11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HYPERLINK("http://141.218.60.56/~jnz1568/getInfo.php?workbook=11_01.xlsx&amp;sheet=A0&amp;row=139&amp;col=6&amp;number=&amp;sourceID=18","")</f>
        <v/>
      </c>
      <c r="G139" s="4" t="str">
        <f>HYPERLINK("http://141.218.60.56/~jnz1568/getInfo.php?workbook=11_01.xlsx&amp;sheet=A0&amp;row=139&amp;col=7&amp;number==&amp;sourceID=11","=")</f>
        <v>=</v>
      </c>
      <c r="H139" s="4" t="str">
        <f>HYPERLINK("http://141.218.60.56/~jnz1568/getInfo.php?workbook=11_01.xlsx&amp;sheet=A0&amp;row=139&amp;col=8&amp;number=&amp;sourceID=11","")</f>
        <v/>
      </c>
      <c r="I139" s="4" t="str">
        <f>HYPERLINK("http://141.218.60.56/~jnz1568/getInfo.php?workbook=11_01.xlsx&amp;sheet=A0&amp;row=139&amp;col=9&amp;number=&amp;sourceID=11","")</f>
        <v/>
      </c>
      <c r="J139" s="4" t="str">
        <f>HYPERLINK("http://141.218.60.56/~jnz1568/getInfo.php?workbook=11_01.xlsx&amp;sheet=A0&amp;row=139&amp;col=10&amp;number=&amp;sourceID=11","")</f>
        <v/>
      </c>
      <c r="K139" s="4" t="str">
        <f>HYPERLINK("http://141.218.60.56/~jnz1568/getInfo.php?workbook=11_01.xlsx&amp;sheet=A0&amp;row=139&amp;col=11&amp;number=0.67658&amp;sourceID=11","0.67658")</f>
        <v>0.67658</v>
      </c>
      <c r="L139" s="4" t="str">
        <f>HYPERLINK("http://141.218.60.56/~jnz1568/getInfo.php?workbook=11_01.xlsx&amp;sheet=A0&amp;row=139&amp;col=12&amp;number=&amp;sourceID=11","")</f>
        <v/>
      </c>
      <c r="M139" s="4" t="str">
        <f>HYPERLINK("http://141.218.60.56/~jnz1568/getInfo.php?workbook=11_01.xlsx&amp;sheet=A0&amp;row=139&amp;col=13&amp;number=&amp;sourceID=11","")</f>
        <v/>
      </c>
      <c r="N139" s="4" t="str">
        <f>HYPERLINK("http://141.218.60.56/~jnz1568/getInfo.php?workbook=11_01.xlsx&amp;sheet=A0&amp;row=139&amp;col=14&amp;number=0.6766&amp;sourceID=12","0.6766")</f>
        <v>0.6766</v>
      </c>
      <c r="O139" s="4" t="str">
        <f>HYPERLINK("http://141.218.60.56/~jnz1568/getInfo.php?workbook=11_01.xlsx&amp;sheet=A0&amp;row=139&amp;col=15&amp;number=&amp;sourceID=12","")</f>
        <v/>
      </c>
      <c r="P139" s="4" t="str">
        <f>HYPERLINK("http://141.218.60.56/~jnz1568/getInfo.php?workbook=11_01.xlsx&amp;sheet=A0&amp;row=139&amp;col=16&amp;number=&amp;sourceID=12","")</f>
        <v/>
      </c>
      <c r="Q139" s="4" t="str">
        <f>HYPERLINK("http://141.218.60.56/~jnz1568/getInfo.php?workbook=11_01.xlsx&amp;sheet=A0&amp;row=139&amp;col=17&amp;number=&amp;sourceID=12","")</f>
        <v/>
      </c>
      <c r="R139" s="4" t="str">
        <f>HYPERLINK("http://141.218.60.56/~jnz1568/getInfo.php?workbook=11_01.xlsx&amp;sheet=A0&amp;row=139&amp;col=18&amp;number=0.6766&amp;sourceID=12","0.6766")</f>
        <v>0.6766</v>
      </c>
      <c r="S139" s="4" t="str">
        <f>HYPERLINK("http://141.218.60.56/~jnz1568/getInfo.php?workbook=11_01.xlsx&amp;sheet=A0&amp;row=139&amp;col=19&amp;number=&amp;sourceID=12","")</f>
        <v/>
      </c>
      <c r="T139" s="4" t="str">
        <f>HYPERLINK("http://141.218.60.56/~jnz1568/getInfo.php?workbook=11_01.xlsx&amp;sheet=A0&amp;row=139&amp;col=20&amp;number=&amp;sourceID=12","")</f>
        <v/>
      </c>
      <c r="U139" s="4" t="str">
        <f>HYPERLINK("http://141.218.60.56/~jnz1568/getInfo.php?workbook=11_01.xlsx&amp;sheet=A0&amp;row=139&amp;col=21&amp;number=0.6762&amp;sourceID=30","0.6762")</f>
        <v>0.6762</v>
      </c>
      <c r="V139" s="4" t="str">
        <f>HYPERLINK("http://141.218.60.56/~jnz1568/getInfo.php?workbook=11_01.xlsx&amp;sheet=A0&amp;row=139&amp;col=22&amp;number=&amp;sourceID=30","")</f>
        <v/>
      </c>
      <c r="W139" s="4" t="str">
        <f>HYPERLINK("http://141.218.60.56/~jnz1568/getInfo.php?workbook=11_01.xlsx&amp;sheet=A0&amp;row=139&amp;col=23&amp;number=&amp;sourceID=30","")</f>
        <v/>
      </c>
      <c r="X139" s="4" t="str">
        <f>HYPERLINK("http://141.218.60.56/~jnz1568/getInfo.php?workbook=11_01.xlsx&amp;sheet=A0&amp;row=139&amp;col=24&amp;number=0.6762&amp;sourceID=30","0.6762")</f>
        <v>0.6762</v>
      </c>
      <c r="Y139" s="4" t="str">
        <f>HYPERLINK("http://141.218.60.56/~jnz1568/getInfo.php?workbook=11_01.xlsx&amp;sheet=A0&amp;row=139&amp;col=25&amp;number=&amp;sourceID=30","")</f>
        <v/>
      </c>
      <c r="Z139" s="4" t="str">
        <f>HYPERLINK("http://141.218.60.56/~jnz1568/getInfo.php?workbook=11_01.xlsx&amp;sheet=A0&amp;row=139&amp;col=26&amp;number=&amp;sourceID=13","")</f>
        <v/>
      </c>
      <c r="AA139" s="4" t="str">
        <f>HYPERLINK("http://141.218.60.56/~jnz1568/getInfo.php?workbook=11_01.xlsx&amp;sheet=A0&amp;row=139&amp;col=27&amp;number=&amp;sourceID=13","")</f>
        <v/>
      </c>
      <c r="AB139" s="4" t="str">
        <f>HYPERLINK("http://141.218.60.56/~jnz1568/getInfo.php?workbook=11_01.xlsx&amp;sheet=A0&amp;row=139&amp;col=28&amp;number=&amp;sourceID=13","")</f>
        <v/>
      </c>
      <c r="AC139" s="4" t="str">
        <f>HYPERLINK("http://141.218.60.56/~jnz1568/getInfo.php?workbook=11_01.xlsx&amp;sheet=A0&amp;row=139&amp;col=29&amp;number=&amp;sourceID=13","")</f>
        <v/>
      </c>
      <c r="AD139" s="4" t="str">
        <f>HYPERLINK("http://141.218.60.56/~jnz1568/getInfo.php?workbook=11_01.xlsx&amp;sheet=A0&amp;row=139&amp;col=30&amp;number=&amp;sourceID=13","")</f>
        <v/>
      </c>
      <c r="AE139" s="4" t="str">
        <f>HYPERLINK("http://141.218.60.56/~jnz1568/getInfo.php?workbook=11_01.xlsx&amp;sheet=A0&amp;row=139&amp;col=31&amp;number=&amp;sourceID=13","")</f>
        <v/>
      </c>
    </row>
    <row r="140" spans="1:31">
      <c r="A140" s="3">
        <v>11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HYPERLINK("http://141.218.60.56/~jnz1568/getInfo.php?workbook=11_01.xlsx&amp;sheet=A0&amp;row=140&amp;col=6&amp;number=&amp;sourceID=18","")</f>
        <v/>
      </c>
      <c r="G140" s="4" t="str">
        <f>HYPERLINK("http://141.218.60.56/~jnz1568/getInfo.php?workbook=11_01.xlsx&amp;sheet=A0&amp;row=140&amp;col=7&amp;number==&amp;sourceID=11","=")</f>
        <v>=</v>
      </c>
      <c r="H140" s="4" t="str">
        <f>HYPERLINK("http://141.218.60.56/~jnz1568/getInfo.php?workbook=11_01.xlsx&amp;sheet=A0&amp;row=140&amp;col=8&amp;number=&amp;sourceID=11","")</f>
        <v/>
      </c>
      <c r="I140" s="4" t="str">
        <f>HYPERLINK("http://141.218.60.56/~jnz1568/getInfo.php?workbook=11_01.xlsx&amp;sheet=A0&amp;row=140&amp;col=9&amp;number=454930&amp;sourceID=11","454930")</f>
        <v>454930</v>
      </c>
      <c r="J140" s="4" t="str">
        <f>HYPERLINK("http://141.218.60.56/~jnz1568/getInfo.php?workbook=11_01.xlsx&amp;sheet=A0&amp;row=140&amp;col=10&amp;number=&amp;sourceID=11","")</f>
        <v/>
      </c>
      <c r="K140" s="4" t="str">
        <f>HYPERLINK("http://141.218.60.56/~jnz1568/getInfo.php?workbook=11_01.xlsx&amp;sheet=A0&amp;row=140&amp;col=11&amp;number=8.9348e-05&amp;sourceID=11","8.9348e-05")</f>
        <v>8.9348e-05</v>
      </c>
      <c r="L140" s="4" t="str">
        <f>HYPERLINK("http://141.218.60.56/~jnz1568/getInfo.php?workbook=11_01.xlsx&amp;sheet=A0&amp;row=140&amp;col=12&amp;number=&amp;sourceID=11","")</f>
        <v/>
      </c>
      <c r="M140" s="4" t="str">
        <f>HYPERLINK("http://141.218.60.56/~jnz1568/getInfo.php?workbook=11_01.xlsx&amp;sheet=A0&amp;row=140&amp;col=13&amp;number=&amp;sourceID=11","")</f>
        <v/>
      </c>
      <c r="N140" s="4" t="str">
        <f>HYPERLINK("http://141.218.60.56/~jnz1568/getInfo.php?workbook=11_01.xlsx&amp;sheet=A0&amp;row=140&amp;col=14&amp;number=454940&amp;sourceID=12","454940")</f>
        <v>454940</v>
      </c>
      <c r="O140" s="4" t="str">
        <f>HYPERLINK("http://141.218.60.56/~jnz1568/getInfo.php?workbook=11_01.xlsx&amp;sheet=A0&amp;row=140&amp;col=15&amp;number=&amp;sourceID=12","")</f>
        <v/>
      </c>
      <c r="P140" s="4" t="str">
        <f>HYPERLINK("http://141.218.60.56/~jnz1568/getInfo.php?workbook=11_01.xlsx&amp;sheet=A0&amp;row=140&amp;col=16&amp;number=454940&amp;sourceID=12","454940")</f>
        <v>454940</v>
      </c>
      <c r="Q140" s="4" t="str">
        <f>HYPERLINK("http://141.218.60.56/~jnz1568/getInfo.php?workbook=11_01.xlsx&amp;sheet=A0&amp;row=140&amp;col=17&amp;number=&amp;sourceID=12","")</f>
        <v/>
      </c>
      <c r="R140" s="4" t="str">
        <f>HYPERLINK("http://141.218.60.56/~jnz1568/getInfo.php?workbook=11_01.xlsx&amp;sheet=A0&amp;row=140&amp;col=18&amp;number=8.934e-05&amp;sourceID=12","8.934e-05")</f>
        <v>8.934e-05</v>
      </c>
      <c r="S140" s="4" t="str">
        <f>HYPERLINK("http://141.218.60.56/~jnz1568/getInfo.php?workbook=11_01.xlsx&amp;sheet=A0&amp;row=140&amp;col=19&amp;number=&amp;sourceID=12","")</f>
        <v/>
      </c>
      <c r="T140" s="4" t="str">
        <f>HYPERLINK("http://141.218.60.56/~jnz1568/getInfo.php?workbook=11_01.xlsx&amp;sheet=A0&amp;row=140&amp;col=20&amp;number=&amp;sourceID=12","")</f>
        <v/>
      </c>
      <c r="U140" s="4" t="str">
        <f>HYPERLINK("http://141.218.60.56/~jnz1568/getInfo.php?workbook=11_01.xlsx&amp;sheet=A0&amp;row=140&amp;col=21&amp;number=454900.000092&amp;sourceID=30","454900.000092")</f>
        <v>454900.000092</v>
      </c>
      <c r="V140" s="4" t="str">
        <f>HYPERLINK("http://141.218.60.56/~jnz1568/getInfo.php?workbook=11_01.xlsx&amp;sheet=A0&amp;row=140&amp;col=22&amp;number=&amp;sourceID=30","")</f>
        <v/>
      </c>
      <c r="W140" s="4" t="str">
        <f>HYPERLINK("http://141.218.60.56/~jnz1568/getInfo.php?workbook=11_01.xlsx&amp;sheet=A0&amp;row=140&amp;col=23&amp;number=454900&amp;sourceID=30","454900")</f>
        <v>454900</v>
      </c>
      <c r="X140" s="4" t="str">
        <f>HYPERLINK("http://141.218.60.56/~jnz1568/getInfo.php?workbook=11_01.xlsx&amp;sheet=A0&amp;row=140&amp;col=24&amp;number=9.156e-05&amp;sourceID=30","9.156e-05")</f>
        <v>9.156e-05</v>
      </c>
      <c r="Y140" s="4" t="str">
        <f>HYPERLINK("http://141.218.60.56/~jnz1568/getInfo.php?workbook=11_01.xlsx&amp;sheet=A0&amp;row=140&amp;col=25&amp;number=&amp;sourceID=30","")</f>
        <v/>
      </c>
      <c r="Z140" s="4" t="str">
        <f>HYPERLINK("http://141.218.60.56/~jnz1568/getInfo.php?workbook=11_01.xlsx&amp;sheet=A0&amp;row=140&amp;col=26&amp;number=&amp;sourceID=13","")</f>
        <v/>
      </c>
      <c r="AA140" s="4" t="str">
        <f>HYPERLINK("http://141.218.60.56/~jnz1568/getInfo.php?workbook=11_01.xlsx&amp;sheet=A0&amp;row=140&amp;col=27&amp;number=&amp;sourceID=13","")</f>
        <v/>
      </c>
      <c r="AB140" s="4" t="str">
        <f>HYPERLINK("http://141.218.60.56/~jnz1568/getInfo.php?workbook=11_01.xlsx&amp;sheet=A0&amp;row=140&amp;col=28&amp;number=&amp;sourceID=13","")</f>
        <v/>
      </c>
      <c r="AC140" s="4" t="str">
        <f>HYPERLINK("http://141.218.60.56/~jnz1568/getInfo.php?workbook=11_01.xlsx&amp;sheet=A0&amp;row=140&amp;col=29&amp;number=&amp;sourceID=13","")</f>
        <v/>
      </c>
      <c r="AD140" s="4" t="str">
        <f>HYPERLINK("http://141.218.60.56/~jnz1568/getInfo.php?workbook=11_01.xlsx&amp;sheet=A0&amp;row=140&amp;col=30&amp;number=&amp;sourceID=13","")</f>
        <v/>
      </c>
      <c r="AE140" s="4" t="str">
        <f>HYPERLINK("http://141.218.60.56/~jnz1568/getInfo.php?workbook=11_01.xlsx&amp;sheet=A0&amp;row=140&amp;col=31&amp;number=&amp;sourceID=13","")</f>
        <v/>
      </c>
    </row>
    <row r="141" spans="1:31">
      <c r="A141" s="3">
        <v>11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HYPERLINK("http://141.218.60.56/~jnz1568/getInfo.php?workbook=11_01.xlsx&amp;sheet=A0&amp;row=141&amp;col=6&amp;number=&amp;sourceID=18","")</f>
        <v/>
      </c>
      <c r="G141" s="4" t="str">
        <f>HYPERLINK("http://141.218.60.56/~jnz1568/getInfo.php?workbook=11_01.xlsx&amp;sheet=A0&amp;row=141&amp;col=7&amp;number==&amp;sourceID=11","=")</f>
        <v>=</v>
      </c>
      <c r="H141" s="4" t="str">
        <f>HYPERLINK("http://141.218.60.56/~jnz1568/getInfo.php?workbook=11_01.xlsx&amp;sheet=A0&amp;row=141&amp;col=8&amp;number=8962300000&amp;sourceID=11","8962300000")</f>
        <v>8962300000</v>
      </c>
      <c r="I141" s="4" t="str">
        <f>HYPERLINK("http://141.218.60.56/~jnz1568/getInfo.php?workbook=11_01.xlsx&amp;sheet=A0&amp;row=141&amp;col=9&amp;number=&amp;sourceID=11","")</f>
        <v/>
      </c>
      <c r="J141" s="4" t="str">
        <f>HYPERLINK("http://141.218.60.56/~jnz1568/getInfo.php?workbook=11_01.xlsx&amp;sheet=A0&amp;row=141&amp;col=10&amp;number=&amp;sourceID=11","")</f>
        <v/>
      </c>
      <c r="K141" s="4" t="str">
        <f>HYPERLINK("http://141.218.60.56/~jnz1568/getInfo.php?workbook=11_01.xlsx&amp;sheet=A0&amp;row=141&amp;col=11&amp;number=&amp;sourceID=11","")</f>
        <v/>
      </c>
      <c r="L141" s="4" t="str">
        <f>HYPERLINK("http://141.218.60.56/~jnz1568/getInfo.php?workbook=11_01.xlsx&amp;sheet=A0&amp;row=141&amp;col=12&amp;number=88.29&amp;sourceID=11","88.29")</f>
        <v>88.29</v>
      </c>
      <c r="M141" s="4" t="str">
        <f>HYPERLINK("http://141.218.60.56/~jnz1568/getInfo.php?workbook=11_01.xlsx&amp;sheet=A0&amp;row=141&amp;col=13&amp;number=&amp;sourceID=11","")</f>
        <v/>
      </c>
      <c r="N141" s="4" t="str">
        <f>HYPERLINK("http://141.218.60.56/~jnz1568/getInfo.php?workbook=11_01.xlsx&amp;sheet=A0&amp;row=141&amp;col=14&amp;number=8962500000&amp;sourceID=12","8962500000")</f>
        <v>8962500000</v>
      </c>
      <c r="O141" s="4" t="str">
        <f>HYPERLINK("http://141.218.60.56/~jnz1568/getInfo.php?workbook=11_01.xlsx&amp;sheet=A0&amp;row=141&amp;col=15&amp;number=8962500000&amp;sourceID=12","8962500000")</f>
        <v>8962500000</v>
      </c>
      <c r="P141" s="4" t="str">
        <f>HYPERLINK("http://141.218.60.56/~jnz1568/getInfo.php?workbook=11_01.xlsx&amp;sheet=A0&amp;row=141&amp;col=16&amp;number=&amp;sourceID=12","")</f>
        <v/>
      </c>
      <c r="Q141" s="4" t="str">
        <f>HYPERLINK("http://141.218.60.56/~jnz1568/getInfo.php?workbook=11_01.xlsx&amp;sheet=A0&amp;row=141&amp;col=17&amp;number=&amp;sourceID=12","")</f>
        <v/>
      </c>
      <c r="R141" s="4" t="str">
        <f>HYPERLINK("http://141.218.60.56/~jnz1568/getInfo.php?workbook=11_01.xlsx&amp;sheet=A0&amp;row=141&amp;col=18&amp;number=&amp;sourceID=12","")</f>
        <v/>
      </c>
      <c r="S141" s="4" t="str">
        <f>HYPERLINK("http://141.218.60.56/~jnz1568/getInfo.php?workbook=11_01.xlsx&amp;sheet=A0&amp;row=141&amp;col=19&amp;number=88.293&amp;sourceID=12","88.293")</f>
        <v>88.293</v>
      </c>
      <c r="T141" s="4" t="str">
        <f>HYPERLINK("http://141.218.60.56/~jnz1568/getInfo.php?workbook=11_01.xlsx&amp;sheet=A0&amp;row=141&amp;col=20&amp;number=&amp;sourceID=12","")</f>
        <v/>
      </c>
      <c r="U141" s="4" t="str">
        <f>HYPERLINK("http://141.218.60.56/~jnz1568/getInfo.php?workbook=11_01.xlsx&amp;sheet=A0&amp;row=141&amp;col=21&amp;number=8962000088.29&amp;sourceID=30","8962000088.29")</f>
        <v>8962000088.29</v>
      </c>
      <c r="V141" s="4" t="str">
        <f>HYPERLINK("http://141.218.60.56/~jnz1568/getInfo.php?workbook=11_01.xlsx&amp;sheet=A0&amp;row=141&amp;col=22&amp;number=8962000000&amp;sourceID=30","8962000000")</f>
        <v>8962000000</v>
      </c>
      <c r="W141" s="4" t="str">
        <f>HYPERLINK("http://141.218.60.56/~jnz1568/getInfo.php?workbook=11_01.xlsx&amp;sheet=A0&amp;row=141&amp;col=23&amp;number=&amp;sourceID=30","")</f>
        <v/>
      </c>
      <c r="X141" s="4" t="str">
        <f>HYPERLINK("http://141.218.60.56/~jnz1568/getInfo.php?workbook=11_01.xlsx&amp;sheet=A0&amp;row=141&amp;col=24&amp;number=&amp;sourceID=30","")</f>
        <v/>
      </c>
      <c r="Y141" s="4" t="str">
        <f>HYPERLINK("http://141.218.60.56/~jnz1568/getInfo.php?workbook=11_01.xlsx&amp;sheet=A0&amp;row=141&amp;col=25&amp;number=88.29&amp;sourceID=30","88.29")</f>
        <v>88.29</v>
      </c>
      <c r="Z141" s="4" t="str">
        <f>HYPERLINK("http://141.218.60.56/~jnz1568/getInfo.php?workbook=11_01.xlsx&amp;sheet=A0&amp;row=141&amp;col=26&amp;number=&amp;sourceID=13","")</f>
        <v/>
      </c>
      <c r="AA141" s="4" t="str">
        <f>HYPERLINK("http://141.218.60.56/~jnz1568/getInfo.php?workbook=11_01.xlsx&amp;sheet=A0&amp;row=141&amp;col=27&amp;number=&amp;sourceID=13","")</f>
        <v/>
      </c>
      <c r="AB141" s="4" t="str">
        <f>HYPERLINK("http://141.218.60.56/~jnz1568/getInfo.php?workbook=11_01.xlsx&amp;sheet=A0&amp;row=141&amp;col=28&amp;number=&amp;sourceID=13","")</f>
        <v/>
      </c>
      <c r="AC141" s="4" t="str">
        <f>HYPERLINK("http://141.218.60.56/~jnz1568/getInfo.php?workbook=11_01.xlsx&amp;sheet=A0&amp;row=141&amp;col=29&amp;number=&amp;sourceID=13","")</f>
        <v/>
      </c>
      <c r="AD141" s="4" t="str">
        <f>HYPERLINK("http://141.218.60.56/~jnz1568/getInfo.php?workbook=11_01.xlsx&amp;sheet=A0&amp;row=141&amp;col=30&amp;number=&amp;sourceID=13","")</f>
        <v/>
      </c>
      <c r="AE141" s="4" t="str">
        <f>HYPERLINK("http://141.218.60.56/~jnz1568/getInfo.php?workbook=11_01.xlsx&amp;sheet=A0&amp;row=141&amp;col=31&amp;number=&amp;sourceID=13","")</f>
        <v/>
      </c>
    </row>
    <row r="142" spans="1:31">
      <c r="A142" s="3">
        <v>11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HYPERLINK("http://141.218.60.56/~jnz1568/getInfo.php?workbook=11_01.xlsx&amp;sheet=A0&amp;row=142&amp;col=6&amp;number=&amp;sourceID=18","")</f>
        <v/>
      </c>
      <c r="G142" s="4" t="str">
        <f>HYPERLINK("http://141.218.60.56/~jnz1568/getInfo.php?workbook=11_01.xlsx&amp;sheet=A0&amp;row=142&amp;col=7&amp;number==&amp;sourceID=11","=")</f>
        <v>=</v>
      </c>
      <c r="H142" s="4" t="str">
        <f>HYPERLINK("http://141.218.60.56/~jnz1568/getInfo.php?workbook=11_01.xlsx&amp;sheet=A0&amp;row=142&amp;col=8&amp;number=&amp;sourceID=11","")</f>
        <v/>
      </c>
      <c r="I142" s="4" t="str">
        <f>HYPERLINK("http://141.218.60.56/~jnz1568/getInfo.php?workbook=11_01.xlsx&amp;sheet=A0&amp;row=142&amp;col=9&amp;number=682740&amp;sourceID=11","682740")</f>
        <v>682740</v>
      </c>
      <c r="J142" s="4" t="str">
        <f>HYPERLINK("http://141.218.60.56/~jnz1568/getInfo.php?workbook=11_01.xlsx&amp;sheet=A0&amp;row=142&amp;col=10&amp;number=&amp;sourceID=11","")</f>
        <v/>
      </c>
      <c r="K142" s="4" t="str">
        <f>HYPERLINK("http://141.218.60.56/~jnz1568/getInfo.php?workbook=11_01.xlsx&amp;sheet=A0&amp;row=142&amp;col=11&amp;number=&amp;sourceID=11","")</f>
        <v/>
      </c>
      <c r="L142" s="4" t="str">
        <f>HYPERLINK("http://141.218.60.56/~jnz1568/getInfo.php?workbook=11_01.xlsx&amp;sheet=A0&amp;row=142&amp;col=12&amp;number=&amp;sourceID=11","")</f>
        <v/>
      </c>
      <c r="M142" s="4" t="str">
        <f>HYPERLINK("http://141.218.60.56/~jnz1568/getInfo.php?workbook=11_01.xlsx&amp;sheet=A0&amp;row=142&amp;col=13&amp;number=0.007959&amp;sourceID=11","0.007959")</f>
        <v>0.007959</v>
      </c>
      <c r="N142" s="4" t="str">
        <f>HYPERLINK("http://141.218.60.56/~jnz1568/getInfo.php?workbook=11_01.xlsx&amp;sheet=A0&amp;row=142&amp;col=14&amp;number=682760&amp;sourceID=12","682760")</f>
        <v>682760</v>
      </c>
      <c r="O142" s="4" t="str">
        <f>HYPERLINK("http://141.218.60.56/~jnz1568/getInfo.php?workbook=11_01.xlsx&amp;sheet=A0&amp;row=142&amp;col=15&amp;number=&amp;sourceID=12","")</f>
        <v/>
      </c>
      <c r="P142" s="4" t="str">
        <f>HYPERLINK("http://141.218.60.56/~jnz1568/getInfo.php?workbook=11_01.xlsx&amp;sheet=A0&amp;row=142&amp;col=16&amp;number=682760&amp;sourceID=12","682760")</f>
        <v>682760</v>
      </c>
      <c r="Q142" s="4" t="str">
        <f>HYPERLINK("http://141.218.60.56/~jnz1568/getInfo.php?workbook=11_01.xlsx&amp;sheet=A0&amp;row=142&amp;col=17&amp;number=&amp;sourceID=12","")</f>
        <v/>
      </c>
      <c r="R142" s="4" t="str">
        <f>HYPERLINK("http://141.218.60.56/~jnz1568/getInfo.php?workbook=11_01.xlsx&amp;sheet=A0&amp;row=142&amp;col=18&amp;number=&amp;sourceID=12","")</f>
        <v/>
      </c>
      <c r="S142" s="4" t="str">
        <f>HYPERLINK("http://141.218.60.56/~jnz1568/getInfo.php?workbook=11_01.xlsx&amp;sheet=A0&amp;row=142&amp;col=19&amp;number=&amp;sourceID=12","")</f>
        <v/>
      </c>
      <c r="T142" s="4" t="str">
        <f>HYPERLINK("http://141.218.60.56/~jnz1568/getInfo.php?workbook=11_01.xlsx&amp;sheet=A0&amp;row=142&amp;col=20&amp;number=0.0079592&amp;sourceID=12","0.0079592")</f>
        <v>0.0079592</v>
      </c>
      <c r="U142" s="4" t="str">
        <f>HYPERLINK("http://141.218.60.56/~jnz1568/getInfo.php?workbook=11_01.xlsx&amp;sheet=A0&amp;row=142&amp;col=21&amp;number=682800&amp;sourceID=30","682800")</f>
        <v>682800</v>
      </c>
      <c r="V142" s="4" t="str">
        <f>HYPERLINK("http://141.218.60.56/~jnz1568/getInfo.php?workbook=11_01.xlsx&amp;sheet=A0&amp;row=142&amp;col=22&amp;number=&amp;sourceID=30","")</f>
        <v/>
      </c>
      <c r="W142" s="4" t="str">
        <f>HYPERLINK("http://141.218.60.56/~jnz1568/getInfo.php?workbook=11_01.xlsx&amp;sheet=A0&amp;row=142&amp;col=23&amp;number=682800&amp;sourceID=30","682800")</f>
        <v>682800</v>
      </c>
      <c r="X142" s="4" t="str">
        <f>HYPERLINK("http://141.218.60.56/~jnz1568/getInfo.php?workbook=11_01.xlsx&amp;sheet=A0&amp;row=142&amp;col=24&amp;number=&amp;sourceID=30","")</f>
        <v/>
      </c>
      <c r="Y142" s="4" t="str">
        <f>HYPERLINK("http://141.218.60.56/~jnz1568/getInfo.php?workbook=11_01.xlsx&amp;sheet=A0&amp;row=142&amp;col=25&amp;number=&amp;sourceID=30","")</f>
        <v/>
      </c>
      <c r="Z142" s="4" t="str">
        <f>HYPERLINK("http://141.218.60.56/~jnz1568/getInfo.php?workbook=11_01.xlsx&amp;sheet=A0&amp;row=142&amp;col=26&amp;number=&amp;sourceID=13","")</f>
        <v/>
      </c>
      <c r="AA142" s="4" t="str">
        <f>HYPERLINK("http://141.218.60.56/~jnz1568/getInfo.php?workbook=11_01.xlsx&amp;sheet=A0&amp;row=142&amp;col=27&amp;number=&amp;sourceID=13","")</f>
        <v/>
      </c>
      <c r="AB142" s="4" t="str">
        <f>HYPERLINK("http://141.218.60.56/~jnz1568/getInfo.php?workbook=11_01.xlsx&amp;sheet=A0&amp;row=142&amp;col=28&amp;number=&amp;sourceID=13","")</f>
        <v/>
      </c>
      <c r="AC142" s="4" t="str">
        <f>HYPERLINK("http://141.218.60.56/~jnz1568/getInfo.php?workbook=11_01.xlsx&amp;sheet=A0&amp;row=142&amp;col=29&amp;number=&amp;sourceID=13","")</f>
        <v/>
      </c>
      <c r="AD142" s="4" t="str">
        <f>HYPERLINK("http://141.218.60.56/~jnz1568/getInfo.php?workbook=11_01.xlsx&amp;sheet=A0&amp;row=142&amp;col=30&amp;number=&amp;sourceID=13","")</f>
        <v/>
      </c>
      <c r="AE142" s="4" t="str">
        <f>HYPERLINK("http://141.218.60.56/~jnz1568/getInfo.php?workbook=11_01.xlsx&amp;sheet=A0&amp;row=142&amp;col=31&amp;number=&amp;sourceID=13","")</f>
        <v/>
      </c>
    </row>
    <row r="143" spans="1:31">
      <c r="A143" s="3">
        <v>11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HYPERLINK("http://141.218.60.56/~jnz1568/getInfo.php?workbook=11_01.xlsx&amp;sheet=A0&amp;row=143&amp;col=6&amp;number=&amp;sourceID=18","")</f>
        <v/>
      </c>
      <c r="G143" s="4" t="str">
        <f>HYPERLINK("http://141.218.60.56/~jnz1568/getInfo.php?workbook=11_01.xlsx&amp;sheet=A0&amp;row=143&amp;col=7&amp;number==&amp;sourceID=11","=")</f>
        <v>=</v>
      </c>
      <c r="H143" s="4" t="str">
        <f>HYPERLINK("http://141.218.60.56/~jnz1568/getInfo.php?workbook=11_01.xlsx&amp;sheet=A0&amp;row=143&amp;col=8&amp;number=3158400000&amp;sourceID=11","3158400000")</f>
        <v>3158400000</v>
      </c>
      <c r="I143" s="4" t="str">
        <f>HYPERLINK("http://141.218.60.56/~jnz1568/getInfo.php?workbook=11_01.xlsx&amp;sheet=A0&amp;row=143&amp;col=9&amp;number=&amp;sourceID=11","")</f>
        <v/>
      </c>
      <c r="J143" s="4" t="str">
        <f>HYPERLINK("http://141.218.60.56/~jnz1568/getInfo.php?workbook=11_01.xlsx&amp;sheet=A0&amp;row=143&amp;col=10&amp;number=&amp;sourceID=11","")</f>
        <v/>
      </c>
      <c r="K143" s="4" t="str">
        <f>HYPERLINK("http://141.218.60.56/~jnz1568/getInfo.php?workbook=11_01.xlsx&amp;sheet=A0&amp;row=143&amp;col=11&amp;number=&amp;sourceID=11","")</f>
        <v/>
      </c>
      <c r="L143" s="4" t="str">
        <f>HYPERLINK("http://141.218.60.56/~jnz1568/getInfo.php?workbook=11_01.xlsx&amp;sheet=A0&amp;row=143&amp;col=12&amp;number=&amp;sourceID=11","")</f>
        <v/>
      </c>
      <c r="M143" s="4" t="str">
        <f>HYPERLINK("http://141.218.60.56/~jnz1568/getInfo.php?workbook=11_01.xlsx&amp;sheet=A0&amp;row=143&amp;col=13&amp;number=&amp;sourceID=11","")</f>
        <v/>
      </c>
      <c r="N143" s="4" t="str">
        <f>HYPERLINK("http://141.218.60.56/~jnz1568/getInfo.php?workbook=11_01.xlsx&amp;sheet=A0&amp;row=143&amp;col=14&amp;number=3158500000&amp;sourceID=12","3158500000")</f>
        <v>3158500000</v>
      </c>
      <c r="O143" s="4" t="str">
        <f>HYPERLINK("http://141.218.60.56/~jnz1568/getInfo.php?workbook=11_01.xlsx&amp;sheet=A0&amp;row=143&amp;col=15&amp;number=3158500000&amp;sourceID=12","3158500000")</f>
        <v>3158500000</v>
      </c>
      <c r="P143" s="4" t="str">
        <f>HYPERLINK("http://141.218.60.56/~jnz1568/getInfo.php?workbook=11_01.xlsx&amp;sheet=A0&amp;row=143&amp;col=16&amp;number=&amp;sourceID=12","")</f>
        <v/>
      </c>
      <c r="Q143" s="4" t="str">
        <f>HYPERLINK("http://141.218.60.56/~jnz1568/getInfo.php?workbook=11_01.xlsx&amp;sheet=A0&amp;row=143&amp;col=17&amp;number=&amp;sourceID=12","")</f>
        <v/>
      </c>
      <c r="R143" s="4" t="str">
        <f>HYPERLINK("http://141.218.60.56/~jnz1568/getInfo.php?workbook=11_01.xlsx&amp;sheet=A0&amp;row=143&amp;col=18&amp;number=&amp;sourceID=12","")</f>
        <v/>
      </c>
      <c r="S143" s="4" t="str">
        <f>HYPERLINK("http://141.218.60.56/~jnz1568/getInfo.php?workbook=11_01.xlsx&amp;sheet=A0&amp;row=143&amp;col=19&amp;number=&amp;sourceID=12","")</f>
        <v/>
      </c>
      <c r="T143" s="4" t="str">
        <f>HYPERLINK("http://141.218.60.56/~jnz1568/getInfo.php?workbook=11_01.xlsx&amp;sheet=A0&amp;row=143&amp;col=20&amp;number=&amp;sourceID=12","")</f>
        <v/>
      </c>
      <c r="U143" s="4" t="str">
        <f>HYPERLINK("http://141.218.60.56/~jnz1568/getInfo.php?workbook=11_01.xlsx&amp;sheet=A0&amp;row=143&amp;col=21&amp;number=3159000000&amp;sourceID=30","3159000000")</f>
        <v>3159000000</v>
      </c>
      <c r="V143" s="4" t="str">
        <f>HYPERLINK("http://141.218.60.56/~jnz1568/getInfo.php?workbook=11_01.xlsx&amp;sheet=A0&amp;row=143&amp;col=22&amp;number=3159000000&amp;sourceID=30","3159000000")</f>
        <v>3159000000</v>
      </c>
      <c r="W143" s="4" t="str">
        <f>HYPERLINK("http://141.218.60.56/~jnz1568/getInfo.php?workbook=11_01.xlsx&amp;sheet=A0&amp;row=143&amp;col=23&amp;number=&amp;sourceID=30","")</f>
        <v/>
      </c>
      <c r="X143" s="4" t="str">
        <f>HYPERLINK("http://141.218.60.56/~jnz1568/getInfo.php?workbook=11_01.xlsx&amp;sheet=A0&amp;row=143&amp;col=24&amp;number=&amp;sourceID=30","")</f>
        <v/>
      </c>
      <c r="Y143" s="4" t="str">
        <f>HYPERLINK("http://141.218.60.56/~jnz1568/getInfo.php?workbook=11_01.xlsx&amp;sheet=A0&amp;row=143&amp;col=25&amp;number=&amp;sourceID=30","")</f>
        <v/>
      </c>
      <c r="Z143" s="4" t="str">
        <f>HYPERLINK("http://141.218.60.56/~jnz1568/getInfo.php?workbook=11_01.xlsx&amp;sheet=A0&amp;row=143&amp;col=26&amp;number=&amp;sourceID=13","")</f>
        <v/>
      </c>
      <c r="AA143" s="4" t="str">
        <f>HYPERLINK("http://141.218.60.56/~jnz1568/getInfo.php?workbook=11_01.xlsx&amp;sheet=A0&amp;row=143&amp;col=27&amp;number=&amp;sourceID=13","")</f>
        <v/>
      </c>
      <c r="AB143" s="4" t="str">
        <f>HYPERLINK("http://141.218.60.56/~jnz1568/getInfo.php?workbook=11_01.xlsx&amp;sheet=A0&amp;row=143&amp;col=28&amp;number=&amp;sourceID=13","")</f>
        <v/>
      </c>
      <c r="AC143" s="4" t="str">
        <f>HYPERLINK("http://141.218.60.56/~jnz1568/getInfo.php?workbook=11_01.xlsx&amp;sheet=A0&amp;row=143&amp;col=29&amp;number=&amp;sourceID=13","")</f>
        <v/>
      </c>
      <c r="AD143" s="4" t="str">
        <f>HYPERLINK("http://141.218.60.56/~jnz1568/getInfo.php?workbook=11_01.xlsx&amp;sheet=A0&amp;row=143&amp;col=30&amp;number=&amp;sourceID=13","")</f>
        <v/>
      </c>
      <c r="AE143" s="4" t="str">
        <f>HYPERLINK("http://141.218.60.56/~jnz1568/getInfo.php?workbook=11_01.xlsx&amp;sheet=A0&amp;row=143&amp;col=31&amp;number=&amp;sourceID=13","")</f>
        <v/>
      </c>
    </row>
    <row r="144" spans="1:31">
      <c r="A144" s="3">
        <v>11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HYPERLINK("http://141.218.60.56/~jnz1568/getInfo.php?workbook=11_01.xlsx&amp;sheet=A0&amp;row=144&amp;col=6&amp;number=&amp;sourceID=18","")</f>
        <v/>
      </c>
      <c r="G144" s="4" t="str">
        <f>HYPERLINK("http://141.218.60.56/~jnz1568/getInfo.php?workbook=11_01.xlsx&amp;sheet=A0&amp;row=144&amp;col=7&amp;number==&amp;sourceID=11","=")</f>
        <v>=</v>
      </c>
      <c r="H144" s="4" t="str">
        <f>HYPERLINK("http://141.218.60.56/~jnz1568/getInfo.php?workbook=11_01.xlsx&amp;sheet=A0&amp;row=144&amp;col=8&amp;number=&amp;sourceID=11","")</f>
        <v/>
      </c>
      <c r="I144" s="4" t="str">
        <f>HYPERLINK("http://141.218.60.56/~jnz1568/getInfo.php?workbook=11_01.xlsx&amp;sheet=A0&amp;row=144&amp;col=9&amp;number=&amp;sourceID=11","")</f>
        <v/>
      </c>
      <c r="J144" s="4" t="str">
        <f>HYPERLINK("http://141.218.60.56/~jnz1568/getInfo.php?workbook=11_01.xlsx&amp;sheet=A0&amp;row=144&amp;col=10&amp;number=&amp;sourceID=11","")</f>
        <v/>
      </c>
      <c r="K144" s="4" t="str">
        <f>HYPERLINK("http://141.218.60.56/~jnz1568/getInfo.php?workbook=11_01.xlsx&amp;sheet=A0&amp;row=144&amp;col=11&amp;number=0.01922&amp;sourceID=11","0.01922")</f>
        <v>0.01922</v>
      </c>
      <c r="L144" s="4" t="str">
        <f>HYPERLINK("http://141.218.60.56/~jnz1568/getInfo.php?workbook=11_01.xlsx&amp;sheet=A0&amp;row=144&amp;col=12&amp;number=&amp;sourceID=11","")</f>
        <v/>
      </c>
      <c r="M144" s="4" t="str">
        <f>HYPERLINK("http://141.218.60.56/~jnz1568/getInfo.php?workbook=11_01.xlsx&amp;sheet=A0&amp;row=144&amp;col=13&amp;number=&amp;sourceID=11","")</f>
        <v/>
      </c>
      <c r="N144" s="4" t="str">
        <f>HYPERLINK("http://141.218.60.56/~jnz1568/getInfo.php?workbook=11_01.xlsx&amp;sheet=A0&amp;row=144&amp;col=14&amp;number=0.019221&amp;sourceID=12","0.019221")</f>
        <v>0.019221</v>
      </c>
      <c r="O144" s="4" t="str">
        <f>HYPERLINK("http://141.218.60.56/~jnz1568/getInfo.php?workbook=11_01.xlsx&amp;sheet=A0&amp;row=144&amp;col=15&amp;number=&amp;sourceID=12","")</f>
        <v/>
      </c>
      <c r="P144" s="4" t="str">
        <f>HYPERLINK("http://141.218.60.56/~jnz1568/getInfo.php?workbook=11_01.xlsx&amp;sheet=A0&amp;row=144&amp;col=16&amp;number=&amp;sourceID=12","")</f>
        <v/>
      </c>
      <c r="Q144" s="4" t="str">
        <f>HYPERLINK("http://141.218.60.56/~jnz1568/getInfo.php?workbook=11_01.xlsx&amp;sheet=A0&amp;row=144&amp;col=17&amp;number=&amp;sourceID=12","")</f>
        <v/>
      </c>
      <c r="R144" s="4" t="str">
        <f>HYPERLINK("http://141.218.60.56/~jnz1568/getInfo.php?workbook=11_01.xlsx&amp;sheet=A0&amp;row=144&amp;col=18&amp;number=0.019221&amp;sourceID=12","0.019221")</f>
        <v>0.019221</v>
      </c>
      <c r="S144" s="4" t="str">
        <f>HYPERLINK("http://141.218.60.56/~jnz1568/getInfo.php?workbook=11_01.xlsx&amp;sheet=A0&amp;row=144&amp;col=19&amp;number=&amp;sourceID=12","")</f>
        <v/>
      </c>
      <c r="T144" s="4" t="str">
        <f>HYPERLINK("http://141.218.60.56/~jnz1568/getInfo.php?workbook=11_01.xlsx&amp;sheet=A0&amp;row=144&amp;col=20&amp;number=&amp;sourceID=12","")</f>
        <v/>
      </c>
      <c r="U144" s="4" t="str">
        <f>HYPERLINK("http://141.218.60.56/~jnz1568/getInfo.php?workbook=11_01.xlsx&amp;sheet=A0&amp;row=144&amp;col=21&amp;number=0.01917&amp;sourceID=30","0.01917")</f>
        <v>0.01917</v>
      </c>
      <c r="V144" s="4" t="str">
        <f>HYPERLINK("http://141.218.60.56/~jnz1568/getInfo.php?workbook=11_01.xlsx&amp;sheet=A0&amp;row=144&amp;col=22&amp;number=&amp;sourceID=30","")</f>
        <v/>
      </c>
      <c r="W144" s="4" t="str">
        <f>HYPERLINK("http://141.218.60.56/~jnz1568/getInfo.php?workbook=11_01.xlsx&amp;sheet=A0&amp;row=144&amp;col=23&amp;number=&amp;sourceID=30","")</f>
        <v/>
      </c>
      <c r="X144" s="4" t="str">
        <f>HYPERLINK("http://141.218.60.56/~jnz1568/getInfo.php?workbook=11_01.xlsx&amp;sheet=A0&amp;row=144&amp;col=24&amp;number=0.01917&amp;sourceID=30","0.01917")</f>
        <v>0.01917</v>
      </c>
      <c r="Y144" s="4" t="str">
        <f>HYPERLINK("http://141.218.60.56/~jnz1568/getInfo.php?workbook=11_01.xlsx&amp;sheet=A0&amp;row=144&amp;col=25&amp;number=&amp;sourceID=30","")</f>
        <v/>
      </c>
      <c r="Z144" s="4" t="str">
        <f>HYPERLINK("http://141.218.60.56/~jnz1568/getInfo.php?workbook=11_01.xlsx&amp;sheet=A0&amp;row=144&amp;col=26&amp;number=&amp;sourceID=13","")</f>
        <v/>
      </c>
      <c r="AA144" s="4" t="str">
        <f>HYPERLINK("http://141.218.60.56/~jnz1568/getInfo.php?workbook=11_01.xlsx&amp;sheet=A0&amp;row=144&amp;col=27&amp;number=&amp;sourceID=13","")</f>
        <v/>
      </c>
      <c r="AB144" s="4" t="str">
        <f>HYPERLINK("http://141.218.60.56/~jnz1568/getInfo.php?workbook=11_01.xlsx&amp;sheet=A0&amp;row=144&amp;col=28&amp;number=&amp;sourceID=13","")</f>
        <v/>
      </c>
      <c r="AC144" s="4" t="str">
        <f>HYPERLINK("http://141.218.60.56/~jnz1568/getInfo.php?workbook=11_01.xlsx&amp;sheet=A0&amp;row=144&amp;col=29&amp;number=&amp;sourceID=13","")</f>
        <v/>
      </c>
      <c r="AD144" s="4" t="str">
        <f>HYPERLINK("http://141.218.60.56/~jnz1568/getInfo.php?workbook=11_01.xlsx&amp;sheet=A0&amp;row=144&amp;col=30&amp;number=&amp;sourceID=13","")</f>
        <v/>
      </c>
      <c r="AE144" s="4" t="str">
        <f>HYPERLINK("http://141.218.60.56/~jnz1568/getInfo.php?workbook=11_01.xlsx&amp;sheet=A0&amp;row=144&amp;col=31&amp;number=&amp;sourceID=13","")</f>
        <v/>
      </c>
    </row>
    <row r="145" spans="1:31">
      <c r="A145" s="3">
        <v>11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HYPERLINK("http://141.218.60.56/~jnz1568/getInfo.php?workbook=11_01.xlsx&amp;sheet=A0&amp;row=145&amp;col=6&amp;number=&amp;sourceID=18","")</f>
        <v/>
      </c>
      <c r="G145" s="4" t="str">
        <f>HYPERLINK("http://141.218.60.56/~jnz1568/getInfo.php?workbook=11_01.xlsx&amp;sheet=A0&amp;row=145&amp;col=7&amp;number==&amp;sourceID=11","=")</f>
        <v>=</v>
      </c>
      <c r="H145" s="4" t="str">
        <f>HYPERLINK("http://141.218.60.56/~jnz1568/getInfo.php?workbook=11_01.xlsx&amp;sheet=A0&amp;row=145&amp;col=8&amp;number=&amp;sourceID=11","")</f>
        <v/>
      </c>
      <c r="I145" s="4" t="str">
        <f>HYPERLINK("http://141.218.60.56/~jnz1568/getInfo.php?workbook=11_01.xlsx&amp;sheet=A0&amp;row=145&amp;col=9&amp;number=231340&amp;sourceID=11","231340")</f>
        <v>231340</v>
      </c>
      <c r="J145" s="4" t="str">
        <f>HYPERLINK("http://141.218.60.56/~jnz1568/getInfo.php?workbook=11_01.xlsx&amp;sheet=A0&amp;row=145&amp;col=10&amp;number=&amp;sourceID=11","")</f>
        <v/>
      </c>
      <c r="K145" s="4" t="str">
        <f>HYPERLINK("http://141.218.60.56/~jnz1568/getInfo.php?workbook=11_01.xlsx&amp;sheet=A0&amp;row=145&amp;col=11&amp;number=2.0689e-05&amp;sourceID=11","2.0689e-05")</f>
        <v>2.0689e-05</v>
      </c>
      <c r="L145" s="4" t="str">
        <f>HYPERLINK("http://141.218.60.56/~jnz1568/getInfo.php?workbook=11_01.xlsx&amp;sheet=A0&amp;row=145&amp;col=12&amp;number=&amp;sourceID=11","")</f>
        <v/>
      </c>
      <c r="M145" s="4" t="str">
        <f>HYPERLINK("http://141.218.60.56/~jnz1568/getInfo.php?workbook=11_01.xlsx&amp;sheet=A0&amp;row=145&amp;col=13&amp;number=&amp;sourceID=11","")</f>
        <v/>
      </c>
      <c r="N145" s="4" t="str">
        <f>HYPERLINK("http://141.218.60.56/~jnz1568/getInfo.php?workbook=11_01.xlsx&amp;sheet=A0&amp;row=145&amp;col=14&amp;number=231340&amp;sourceID=12","231340")</f>
        <v>231340</v>
      </c>
      <c r="O145" s="4" t="str">
        <f>HYPERLINK("http://141.218.60.56/~jnz1568/getInfo.php?workbook=11_01.xlsx&amp;sheet=A0&amp;row=145&amp;col=15&amp;number=&amp;sourceID=12","")</f>
        <v/>
      </c>
      <c r="P145" s="4" t="str">
        <f>HYPERLINK("http://141.218.60.56/~jnz1568/getInfo.php?workbook=11_01.xlsx&amp;sheet=A0&amp;row=145&amp;col=16&amp;number=231340&amp;sourceID=12","231340")</f>
        <v>231340</v>
      </c>
      <c r="Q145" s="4" t="str">
        <f>HYPERLINK("http://141.218.60.56/~jnz1568/getInfo.php?workbook=11_01.xlsx&amp;sheet=A0&amp;row=145&amp;col=17&amp;number=&amp;sourceID=12","")</f>
        <v/>
      </c>
      <c r="R145" s="4" t="str">
        <f>HYPERLINK("http://141.218.60.56/~jnz1568/getInfo.php?workbook=11_01.xlsx&amp;sheet=A0&amp;row=145&amp;col=18&amp;number=2.069e-05&amp;sourceID=12","2.069e-05")</f>
        <v>2.069e-05</v>
      </c>
      <c r="S145" s="4" t="str">
        <f>HYPERLINK("http://141.218.60.56/~jnz1568/getInfo.php?workbook=11_01.xlsx&amp;sheet=A0&amp;row=145&amp;col=19&amp;number=&amp;sourceID=12","")</f>
        <v/>
      </c>
      <c r="T145" s="4" t="str">
        <f>HYPERLINK("http://141.218.60.56/~jnz1568/getInfo.php?workbook=11_01.xlsx&amp;sheet=A0&amp;row=145&amp;col=20&amp;number=&amp;sourceID=12","")</f>
        <v/>
      </c>
      <c r="U145" s="4" t="str">
        <f>HYPERLINK("http://141.218.60.56/~jnz1568/getInfo.php?workbook=11_01.xlsx&amp;sheet=A0&amp;row=145&amp;col=21&amp;number=231300.000022&amp;sourceID=30","231300.000022")</f>
        <v>231300.000022</v>
      </c>
      <c r="V145" s="4" t="str">
        <f>HYPERLINK("http://141.218.60.56/~jnz1568/getInfo.php?workbook=11_01.xlsx&amp;sheet=A0&amp;row=145&amp;col=22&amp;number=&amp;sourceID=30","")</f>
        <v/>
      </c>
      <c r="W145" s="4" t="str">
        <f>HYPERLINK("http://141.218.60.56/~jnz1568/getInfo.php?workbook=11_01.xlsx&amp;sheet=A0&amp;row=145&amp;col=23&amp;number=231300&amp;sourceID=30","231300")</f>
        <v>231300</v>
      </c>
      <c r="X145" s="4" t="str">
        <f>HYPERLINK("http://141.218.60.56/~jnz1568/getInfo.php?workbook=11_01.xlsx&amp;sheet=A0&amp;row=145&amp;col=24&amp;number=2.153e-05&amp;sourceID=30","2.153e-05")</f>
        <v>2.153e-05</v>
      </c>
      <c r="Y145" s="4" t="str">
        <f>HYPERLINK("http://141.218.60.56/~jnz1568/getInfo.php?workbook=11_01.xlsx&amp;sheet=A0&amp;row=145&amp;col=25&amp;number=&amp;sourceID=30","")</f>
        <v/>
      </c>
      <c r="Z145" s="4" t="str">
        <f>HYPERLINK("http://141.218.60.56/~jnz1568/getInfo.php?workbook=11_01.xlsx&amp;sheet=A0&amp;row=145&amp;col=26&amp;number=&amp;sourceID=13","")</f>
        <v/>
      </c>
      <c r="AA145" s="4" t="str">
        <f>HYPERLINK("http://141.218.60.56/~jnz1568/getInfo.php?workbook=11_01.xlsx&amp;sheet=A0&amp;row=145&amp;col=27&amp;number=&amp;sourceID=13","")</f>
        <v/>
      </c>
      <c r="AB145" s="4" t="str">
        <f>HYPERLINK("http://141.218.60.56/~jnz1568/getInfo.php?workbook=11_01.xlsx&amp;sheet=A0&amp;row=145&amp;col=28&amp;number=&amp;sourceID=13","")</f>
        <v/>
      </c>
      <c r="AC145" s="4" t="str">
        <f>HYPERLINK("http://141.218.60.56/~jnz1568/getInfo.php?workbook=11_01.xlsx&amp;sheet=A0&amp;row=145&amp;col=29&amp;number=&amp;sourceID=13","")</f>
        <v/>
      </c>
      <c r="AD145" s="4" t="str">
        <f>HYPERLINK("http://141.218.60.56/~jnz1568/getInfo.php?workbook=11_01.xlsx&amp;sheet=A0&amp;row=145&amp;col=30&amp;number=&amp;sourceID=13","")</f>
        <v/>
      </c>
      <c r="AE145" s="4" t="str">
        <f>HYPERLINK("http://141.218.60.56/~jnz1568/getInfo.php?workbook=11_01.xlsx&amp;sheet=A0&amp;row=145&amp;col=31&amp;number=&amp;sourceID=13","")</f>
        <v/>
      </c>
    </row>
    <row r="146" spans="1:31">
      <c r="A146" s="3">
        <v>11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HYPERLINK("http://141.218.60.56/~jnz1568/getInfo.php?workbook=11_01.xlsx&amp;sheet=A0&amp;row=146&amp;col=6&amp;number=&amp;sourceID=18","")</f>
        <v/>
      </c>
      <c r="G146" s="4" t="str">
        <f>HYPERLINK("http://141.218.60.56/~jnz1568/getInfo.php?workbook=11_01.xlsx&amp;sheet=A0&amp;row=146&amp;col=7&amp;number==&amp;sourceID=11","=")</f>
        <v>=</v>
      </c>
      <c r="H146" s="4" t="str">
        <f>HYPERLINK("http://141.218.60.56/~jnz1568/getInfo.php?workbook=11_01.xlsx&amp;sheet=A0&amp;row=146&amp;col=8&amp;number=6389800000&amp;sourceID=11","6389800000")</f>
        <v>6389800000</v>
      </c>
      <c r="I146" s="4" t="str">
        <f>HYPERLINK("http://141.218.60.56/~jnz1568/getInfo.php?workbook=11_01.xlsx&amp;sheet=A0&amp;row=146&amp;col=9&amp;number=&amp;sourceID=11","")</f>
        <v/>
      </c>
      <c r="J146" s="4" t="str">
        <f>HYPERLINK("http://141.218.60.56/~jnz1568/getInfo.php?workbook=11_01.xlsx&amp;sheet=A0&amp;row=146&amp;col=10&amp;number=&amp;sourceID=11","")</f>
        <v/>
      </c>
      <c r="K146" s="4" t="str">
        <f>HYPERLINK("http://141.218.60.56/~jnz1568/getInfo.php?workbook=11_01.xlsx&amp;sheet=A0&amp;row=146&amp;col=11&amp;number=&amp;sourceID=11","")</f>
        <v/>
      </c>
      <c r="L146" s="4" t="str">
        <f>HYPERLINK("http://141.218.60.56/~jnz1568/getInfo.php?workbook=11_01.xlsx&amp;sheet=A0&amp;row=146&amp;col=12&amp;number=6.2903&amp;sourceID=11","6.2903")</f>
        <v>6.2903</v>
      </c>
      <c r="M146" s="4" t="str">
        <f>HYPERLINK("http://141.218.60.56/~jnz1568/getInfo.php?workbook=11_01.xlsx&amp;sheet=A0&amp;row=146&amp;col=13&amp;number=&amp;sourceID=11","")</f>
        <v/>
      </c>
      <c r="N146" s="4" t="str">
        <f>HYPERLINK("http://141.218.60.56/~jnz1568/getInfo.php?workbook=11_01.xlsx&amp;sheet=A0&amp;row=146&amp;col=14&amp;number=6390000000&amp;sourceID=12","6390000000")</f>
        <v>6390000000</v>
      </c>
      <c r="O146" s="4" t="str">
        <f>HYPERLINK("http://141.218.60.56/~jnz1568/getInfo.php?workbook=11_01.xlsx&amp;sheet=A0&amp;row=146&amp;col=15&amp;number=6390000000&amp;sourceID=12","6390000000")</f>
        <v>6390000000</v>
      </c>
      <c r="P146" s="4" t="str">
        <f>HYPERLINK("http://141.218.60.56/~jnz1568/getInfo.php?workbook=11_01.xlsx&amp;sheet=A0&amp;row=146&amp;col=16&amp;number=&amp;sourceID=12","")</f>
        <v/>
      </c>
      <c r="Q146" s="4" t="str">
        <f>HYPERLINK("http://141.218.60.56/~jnz1568/getInfo.php?workbook=11_01.xlsx&amp;sheet=A0&amp;row=146&amp;col=17&amp;number=&amp;sourceID=12","")</f>
        <v/>
      </c>
      <c r="R146" s="4" t="str">
        <f>HYPERLINK("http://141.218.60.56/~jnz1568/getInfo.php?workbook=11_01.xlsx&amp;sheet=A0&amp;row=146&amp;col=18&amp;number=&amp;sourceID=12","")</f>
        <v/>
      </c>
      <c r="S146" s="4" t="str">
        <f>HYPERLINK("http://141.218.60.56/~jnz1568/getInfo.php?workbook=11_01.xlsx&amp;sheet=A0&amp;row=146&amp;col=19&amp;number=6.2904&amp;sourceID=12","6.2904")</f>
        <v>6.2904</v>
      </c>
      <c r="T146" s="4" t="str">
        <f>HYPERLINK("http://141.218.60.56/~jnz1568/getInfo.php?workbook=11_01.xlsx&amp;sheet=A0&amp;row=146&amp;col=20&amp;number=&amp;sourceID=12","")</f>
        <v/>
      </c>
      <c r="U146" s="4" t="str">
        <f>HYPERLINK("http://141.218.60.56/~jnz1568/getInfo.php?workbook=11_01.xlsx&amp;sheet=A0&amp;row=146&amp;col=21&amp;number=6390000006.29&amp;sourceID=30","6390000006.29")</f>
        <v>6390000006.29</v>
      </c>
      <c r="V146" s="4" t="str">
        <f>HYPERLINK("http://141.218.60.56/~jnz1568/getInfo.php?workbook=11_01.xlsx&amp;sheet=A0&amp;row=146&amp;col=22&amp;number=6390000000&amp;sourceID=30","6390000000")</f>
        <v>6390000000</v>
      </c>
      <c r="W146" s="4" t="str">
        <f>HYPERLINK("http://141.218.60.56/~jnz1568/getInfo.php?workbook=11_01.xlsx&amp;sheet=A0&amp;row=146&amp;col=23&amp;number=&amp;sourceID=30","")</f>
        <v/>
      </c>
      <c r="X146" s="4" t="str">
        <f>HYPERLINK("http://141.218.60.56/~jnz1568/getInfo.php?workbook=11_01.xlsx&amp;sheet=A0&amp;row=146&amp;col=24&amp;number=&amp;sourceID=30","")</f>
        <v/>
      </c>
      <c r="Y146" s="4" t="str">
        <f>HYPERLINK("http://141.218.60.56/~jnz1568/getInfo.php?workbook=11_01.xlsx&amp;sheet=A0&amp;row=146&amp;col=25&amp;number=6.29&amp;sourceID=30","6.29")</f>
        <v>6.29</v>
      </c>
      <c r="Z146" s="4" t="str">
        <f>HYPERLINK("http://141.218.60.56/~jnz1568/getInfo.php?workbook=11_01.xlsx&amp;sheet=A0&amp;row=146&amp;col=26&amp;number=&amp;sourceID=13","")</f>
        <v/>
      </c>
      <c r="AA146" s="4" t="str">
        <f>HYPERLINK("http://141.218.60.56/~jnz1568/getInfo.php?workbook=11_01.xlsx&amp;sheet=A0&amp;row=146&amp;col=27&amp;number=&amp;sourceID=13","")</f>
        <v/>
      </c>
      <c r="AB146" s="4" t="str">
        <f>HYPERLINK("http://141.218.60.56/~jnz1568/getInfo.php?workbook=11_01.xlsx&amp;sheet=A0&amp;row=146&amp;col=28&amp;number=&amp;sourceID=13","")</f>
        <v/>
      </c>
      <c r="AC146" s="4" t="str">
        <f>HYPERLINK("http://141.218.60.56/~jnz1568/getInfo.php?workbook=11_01.xlsx&amp;sheet=A0&amp;row=146&amp;col=29&amp;number=&amp;sourceID=13","")</f>
        <v/>
      </c>
      <c r="AD146" s="4" t="str">
        <f>HYPERLINK("http://141.218.60.56/~jnz1568/getInfo.php?workbook=11_01.xlsx&amp;sheet=A0&amp;row=146&amp;col=30&amp;number=&amp;sourceID=13","")</f>
        <v/>
      </c>
      <c r="AE146" s="4" t="str">
        <f>HYPERLINK("http://141.218.60.56/~jnz1568/getInfo.php?workbook=11_01.xlsx&amp;sheet=A0&amp;row=146&amp;col=31&amp;number=&amp;sourceID=13","")</f>
        <v/>
      </c>
    </row>
    <row r="147" spans="1:31">
      <c r="A147" s="3">
        <v>11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HYPERLINK("http://141.218.60.56/~jnz1568/getInfo.php?workbook=11_01.xlsx&amp;sheet=A0&amp;row=147&amp;col=6&amp;number=&amp;sourceID=18","")</f>
        <v/>
      </c>
      <c r="G147" s="4" t="str">
        <f>HYPERLINK("http://141.218.60.56/~jnz1568/getInfo.php?workbook=11_01.xlsx&amp;sheet=A0&amp;row=147&amp;col=7&amp;number==&amp;sourceID=11","=")</f>
        <v>=</v>
      </c>
      <c r="H147" s="4" t="str">
        <f>HYPERLINK("http://141.218.60.56/~jnz1568/getInfo.php?workbook=11_01.xlsx&amp;sheet=A0&amp;row=147&amp;col=8&amp;number=&amp;sourceID=11","")</f>
        <v/>
      </c>
      <c r="I147" s="4" t="str">
        <f>HYPERLINK("http://141.218.60.56/~jnz1568/getInfo.php?workbook=11_01.xlsx&amp;sheet=A0&amp;row=147&amp;col=9&amp;number=&amp;sourceID=11","")</f>
        <v/>
      </c>
      <c r="J147" s="4" t="str">
        <f>HYPERLINK("http://141.218.60.56/~jnz1568/getInfo.php?workbook=11_01.xlsx&amp;sheet=A0&amp;row=147&amp;col=10&amp;number=2.9311&amp;sourceID=11","2.9311")</f>
        <v>2.9311</v>
      </c>
      <c r="K147" s="4" t="str">
        <f>HYPERLINK("http://141.218.60.56/~jnz1568/getInfo.php?workbook=11_01.xlsx&amp;sheet=A0&amp;row=147&amp;col=11&amp;number=&amp;sourceID=11","")</f>
        <v/>
      </c>
      <c r="L147" s="4" t="str">
        <f>HYPERLINK("http://141.218.60.56/~jnz1568/getInfo.php?workbook=11_01.xlsx&amp;sheet=A0&amp;row=147&amp;col=12&amp;number=3.09e-11&amp;sourceID=11","3.09e-11")</f>
        <v>3.09e-11</v>
      </c>
      <c r="M147" s="4" t="str">
        <f>HYPERLINK("http://141.218.60.56/~jnz1568/getInfo.php?workbook=11_01.xlsx&amp;sheet=A0&amp;row=147&amp;col=13&amp;number=&amp;sourceID=11","")</f>
        <v/>
      </c>
      <c r="N147" s="4" t="str">
        <f>HYPERLINK("http://141.218.60.56/~jnz1568/getInfo.php?workbook=11_01.xlsx&amp;sheet=A0&amp;row=147&amp;col=14&amp;number=2.9311&amp;sourceID=12","2.9311")</f>
        <v>2.9311</v>
      </c>
      <c r="O147" s="4" t="str">
        <f>HYPERLINK("http://141.218.60.56/~jnz1568/getInfo.php?workbook=11_01.xlsx&amp;sheet=A0&amp;row=147&amp;col=15&amp;number=&amp;sourceID=12","")</f>
        <v/>
      </c>
      <c r="P147" s="4" t="str">
        <f>HYPERLINK("http://141.218.60.56/~jnz1568/getInfo.php?workbook=11_01.xlsx&amp;sheet=A0&amp;row=147&amp;col=16&amp;number=&amp;sourceID=12","")</f>
        <v/>
      </c>
      <c r="Q147" s="4" t="str">
        <f>HYPERLINK("http://141.218.60.56/~jnz1568/getInfo.php?workbook=11_01.xlsx&amp;sheet=A0&amp;row=147&amp;col=17&amp;number=2.9311&amp;sourceID=12","2.9311")</f>
        <v>2.9311</v>
      </c>
      <c r="R147" s="4" t="str">
        <f>HYPERLINK("http://141.218.60.56/~jnz1568/getInfo.php?workbook=11_01.xlsx&amp;sheet=A0&amp;row=147&amp;col=18&amp;number=&amp;sourceID=12","")</f>
        <v/>
      </c>
      <c r="S147" s="4" t="str">
        <f>HYPERLINK("http://141.218.60.56/~jnz1568/getInfo.php?workbook=11_01.xlsx&amp;sheet=A0&amp;row=147&amp;col=19&amp;number=3.0901e-11&amp;sourceID=12","3.0901e-11")</f>
        <v>3.0901e-11</v>
      </c>
      <c r="T147" s="4" t="str">
        <f>HYPERLINK("http://141.218.60.56/~jnz1568/getInfo.php?workbook=11_01.xlsx&amp;sheet=A0&amp;row=147&amp;col=20&amp;number=&amp;sourceID=12","")</f>
        <v/>
      </c>
      <c r="U147" s="4" t="str">
        <f>HYPERLINK("http://141.218.60.56/~jnz1568/getInfo.php?workbook=11_01.xlsx&amp;sheet=A0&amp;row=147&amp;col=21&amp;number=3.672e-11&amp;sourceID=30","3.672e-11")</f>
        <v>3.672e-11</v>
      </c>
      <c r="V147" s="4" t="str">
        <f>HYPERLINK("http://141.218.60.56/~jnz1568/getInfo.php?workbook=11_01.xlsx&amp;sheet=A0&amp;row=147&amp;col=22&amp;number=&amp;sourceID=30","")</f>
        <v/>
      </c>
      <c r="W147" s="4" t="str">
        <f>HYPERLINK("http://141.218.60.56/~jnz1568/getInfo.php?workbook=11_01.xlsx&amp;sheet=A0&amp;row=147&amp;col=23&amp;number=&amp;sourceID=30","")</f>
        <v/>
      </c>
      <c r="X147" s="4" t="str">
        <f>HYPERLINK("http://141.218.60.56/~jnz1568/getInfo.php?workbook=11_01.xlsx&amp;sheet=A0&amp;row=147&amp;col=24&amp;number=&amp;sourceID=30","")</f>
        <v/>
      </c>
      <c r="Y147" s="4" t="str">
        <f>HYPERLINK("http://141.218.60.56/~jnz1568/getInfo.php?workbook=11_01.xlsx&amp;sheet=A0&amp;row=147&amp;col=25&amp;number=3.672e-11&amp;sourceID=30","3.672e-11")</f>
        <v>3.672e-11</v>
      </c>
      <c r="Z147" s="4" t="str">
        <f>HYPERLINK("http://141.218.60.56/~jnz1568/getInfo.php?workbook=11_01.xlsx&amp;sheet=A0&amp;row=147&amp;col=26&amp;number=&amp;sourceID=13","")</f>
        <v/>
      </c>
      <c r="AA147" s="4" t="str">
        <f>HYPERLINK("http://141.218.60.56/~jnz1568/getInfo.php?workbook=11_01.xlsx&amp;sheet=A0&amp;row=147&amp;col=27&amp;number=&amp;sourceID=13","")</f>
        <v/>
      </c>
      <c r="AB147" s="4" t="str">
        <f>HYPERLINK("http://141.218.60.56/~jnz1568/getInfo.php?workbook=11_01.xlsx&amp;sheet=A0&amp;row=147&amp;col=28&amp;number=&amp;sourceID=13","")</f>
        <v/>
      </c>
      <c r="AC147" s="4" t="str">
        <f>HYPERLINK("http://141.218.60.56/~jnz1568/getInfo.php?workbook=11_01.xlsx&amp;sheet=A0&amp;row=147&amp;col=29&amp;number=&amp;sourceID=13","")</f>
        <v/>
      </c>
      <c r="AD147" s="4" t="str">
        <f>HYPERLINK("http://141.218.60.56/~jnz1568/getInfo.php?workbook=11_01.xlsx&amp;sheet=A0&amp;row=147&amp;col=30&amp;number=&amp;sourceID=13","")</f>
        <v/>
      </c>
      <c r="AE147" s="4" t="str">
        <f>HYPERLINK("http://141.218.60.56/~jnz1568/getInfo.php?workbook=11_01.xlsx&amp;sheet=A0&amp;row=147&amp;col=31&amp;number=&amp;sourceID=13","")</f>
        <v/>
      </c>
    </row>
    <row r="148" spans="1:31">
      <c r="A148" s="3">
        <v>11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HYPERLINK("http://141.218.60.56/~jnz1568/getInfo.php?workbook=11_01.xlsx&amp;sheet=A0&amp;row=148&amp;col=6&amp;number=&amp;sourceID=18","")</f>
        <v/>
      </c>
      <c r="G148" s="4" t="str">
        <f>HYPERLINK("http://141.218.60.56/~jnz1568/getInfo.php?workbook=11_01.xlsx&amp;sheet=A0&amp;row=148&amp;col=7&amp;number==&amp;sourceID=11","=")</f>
        <v>=</v>
      </c>
      <c r="H148" s="4" t="str">
        <f>HYPERLINK("http://141.218.60.56/~jnz1568/getInfo.php?workbook=11_01.xlsx&amp;sheet=A0&amp;row=148&amp;col=8&amp;number=&amp;sourceID=11","")</f>
        <v/>
      </c>
      <c r="I148" s="4" t="str">
        <f>HYPERLINK("http://141.218.60.56/~jnz1568/getInfo.php?workbook=11_01.xlsx&amp;sheet=A0&amp;row=148&amp;col=9&amp;number=347190&amp;sourceID=11","347190")</f>
        <v>347190</v>
      </c>
      <c r="J148" s="4" t="str">
        <f>HYPERLINK("http://141.218.60.56/~jnz1568/getInfo.php?workbook=11_01.xlsx&amp;sheet=A0&amp;row=148&amp;col=10&amp;number=&amp;sourceID=11","")</f>
        <v/>
      </c>
      <c r="K148" s="4" t="str">
        <f>HYPERLINK("http://141.218.60.56/~jnz1568/getInfo.php?workbook=11_01.xlsx&amp;sheet=A0&amp;row=148&amp;col=11&amp;number=&amp;sourceID=11","")</f>
        <v/>
      </c>
      <c r="L148" s="4" t="str">
        <f>HYPERLINK("http://141.218.60.56/~jnz1568/getInfo.php?workbook=11_01.xlsx&amp;sheet=A0&amp;row=148&amp;col=12&amp;number=&amp;sourceID=11","")</f>
        <v/>
      </c>
      <c r="M148" s="4" t="str">
        <f>HYPERLINK("http://141.218.60.56/~jnz1568/getInfo.php?workbook=11_01.xlsx&amp;sheet=A0&amp;row=148&amp;col=13&amp;number=0.00040439&amp;sourceID=11","0.00040439")</f>
        <v>0.00040439</v>
      </c>
      <c r="N148" s="4" t="str">
        <f>HYPERLINK("http://141.218.60.56/~jnz1568/getInfo.php?workbook=11_01.xlsx&amp;sheet=A0&amp;row=148&amp;col=14&amp;number=347190&amp;sourceID=12","347190")</f>
        <v>347190</v>
      </c>
      <c r="O148" s="4" t="str">
        <f>HYPERLINK("http://141.218.60.56/~jnz1568/getInfo.php?workbook=11_01.xlsx&amp;sheet=A0&amp;row=148&amp;col=15&amp;number=&amp;sourceID=12","")</f>
        <v/>
      </c>
      <c r="P148" s="4" t="str">
        <f>HYPERLINK("http://141.218.60.56/~jnz1568/getInfo.php?workbook=11_01.xlsx&amp;sheet=A0&amp;row=148&amp;col=16&amp;number=347190&amp;sourceID=12","347190")</f>
        <v>347190</v>
      </c>
      <c r="Q148" s="4" t="str">
        <f>HYPERLINK("http://141.218.60.56/~jnz1568/getInfo.php?workbook=11_01.xlsx&amp;sheet=A0&amp;row=148&amp;col=17&amp;number=&amp;sourceID=12","")</f>
        <v/>
      </c>
      <c r="R148" s="4" t="str">
        <f>HYPERLINK("http://141.218.60.56/~jnz1568/getInfo.php?workbook=11_01.xlsx&amp;sheet=A0&amp;row=148&amp;col=18&amp;number=&amp;sourceID=12","")</f>
        <v/>
      </c>
      <c r="S148" s="4" t="str">
        <f>HYPERLINK("http://141.218.60.56/~jnz1568/getInfo.php?workbook=11_01.xlsx&amp;sheet=A0&amp;row=148&amp;col=19&amp;number=&amp;sourceID=12","")</f>
        <v/>
      </c>
      <c r="T148" s="4" t="str">
        <f>HYPERLINK("http://141.218.60.56/~jnz1568/getInfo.php?workbook=11_01.xlsx&amp;sheet=A0&amp;row=148&amp;col=20&amp;number=0.0004044&amp;sourceID=12","0.0004044")</f>
        <v>0.0004044</v>
      </c>
      <c r="U148" s="4" t="str">
        <f>HYPERLINK("http://141.218.60.56/~jnz1568/getInfo.php?workbook=11_01.xlsx&amp;sheet=A0&amp;row=148&amp;col=21&amp;number=347200&amp;sourceID=30","347200")</f>
        <v>347200</v>
      </c>
      <c r="V148" s="4" t="str">
        <f>HYPERLINK("http://141.218.60.56/~jnz1568/getInfo.php?workbook=11_01.xlsx&amp;sheet=A0&amp;row=148&amp;col=22&amp;number=&amp;sourceID=30","")</f>
        <v/>
      </c>
      <c r="W148" s="4" t="str">
        <f>HYPERLINK("http://141.218.60.56/~jnz1568/getInfo.php?workbook=11_01.xlsx&amp;sheet=A0&amp;row=148&amp;col=23&amp;number=347200&amp;sourceID=30","347200")</f>
        <v>347200</v>
      </c>
      <c r="X148" s="4" t="str">
        <f>HYPERLINK("http://141.218.60.56/~jnz1568/getInfo.php?workbook=11_01.xlsx&amp;sheet=A0&amp;row=148&amp;col=24&amp;number=&amp;sourceID=30","")</f>
        <v/>
      </c>
      <c r="Y148" s="4" t="str">
        <f>HYPERLINK("http://141.218.60.56/~jnz1568/getInfo.php?workbook=11_01.xlsx&amp;sheet=A0&amp;row=148&amp;col=25&amp;number=&amp;sourceID=30","")</f>
        <v/>
      </c>
      <c r="Z148" s="4" t="str">
        <f>HYPERLINK("http://141.218.60.56/~jnz1568/getInfo.php?workbook=11_01.xlsx&amp;sheet=A0&amp;row=148&amp;col=26&amp;number=&amp;sourceID=13","")</f>
        <v/>
      </c>
      <c r="AA148" s="4" t="str">
        <f>HYPERLINK("http://141.218.60.56/~jnz1568/getInfo.php?workbook=11_01.xlsx&amp;sheet=A0&amp;row=148&amp;col=27&amp;number=&amp;sourceID=13","")</f>
        <v/>
      </c>
      <c r="AB148" s="4" t="str">
        <f>HYPERLINK("http://141.218.60.56/~jnz1568/getInfo.php?workbook=11_01.xlsx&amp;sheet=A0&amp;row=148&amp;col=28&amp;number=&amp;sourceID=13","")</f>
        <v/>
      </c>
      <c r="AC148" s="4" t="str">
        <f>HYPERLINK("http://141.218.60.56/~jnz1568/getInfo.php?workbook=11_01.xlsx&amp;sheet=A0&amp;row=148&amp;col=29&amp;number=&amp;sourceID=13","")</f>
        <v/>
      </c>
      <c r="AD148" s="4" t="str">
        <f>HYPERLINK("http://141.218.60.56/~jnz1568/getInfo.php?workbook=11_01.xlsx&amp;sheet=A0&amp;row=148&amp;col=30&amp;number=&amp;sourceID=13","")</f>
        <v/>
      </c>
      <c r="AE148" s="4" t="str">
        <f>HYPERLINK("http://141.218.60.56/~jnz1568/getInfo.php?workbook=11_01.xlsx&amp;sheet=A0&amp;row=148&amp;col=31&amp;number=&amp;sourceID=13","")</f>
        <v/>
      </c>
    </row>
    <row r="149" spans="1:31">
      <c r="A149" s="3">
        <v>11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HYPERLINK("http://141.218.60.56/~jnz1568/getInfo.php?workbook=11_01.xlsx&amp;sheet=A0&amp;row=149&amp;col=6&amp;number=&amp;sourceID=18","")</f>
        <v/>
      </c>
      <c r="G149" s="4" t="str">
        <f>HYPERLINK("http://141.218.60.56/~jnz1568/getInfo.php?workbook=11_01.xlsx&amp;sheet=A0&amp;row=149&amp;col=7&amp;number==&amp;sourceID=11","=")</f>
        <v>=</v>
      </c>
      <c r="H149" s="4" t="str">
        <f>HYPERLINK("http://141.218.60.56/~jnz1568/getInfo.php?workbook=11_01.xlsx&amp;sheet=A0&amp;row=149&amp;col=8&amp;number=&amp;sourceID=11","")</f>
        <v/>
      </c>
      <c r="I149" s="4" t="str">
        <f>HYPERLINK("http://141.218.60.56/~jnz1568/getInfo.php?workbook=11_01.xlsx&amp;sheet=A0&amp;row=149&amp;col=9&amp;number=&amp;sourceID=11","")</f>
        <v/>
      </c>
      <c r="J149" s="4" t="str">
        <f>HYPERLINK("http://141.218.60.56/~jnz1568/getInfo.php?workbook=11_01.xlsx&amp;sheet=A0&amp;row=149&amp;col=10&amp;number=3.9057&amp;sourceID=11","3.9057")</f>
        <v>3.9057</v>
      </c>
      <c r="K149" s="4" t="str">
        <f>HYPERLINK("http://141.218.60.56/~jnz1568/getInfo.php?workbook=11_01.xlsx&amp;sheet=A0&amp;row=149&amp;col=11&amp;number=&amp;sourceID=11","")</f>
        <v/>
      </c>
      <c r="L149" s="4" t="str">
        <f>HYPERLINK("http://141.218.60.56/~jnz1568/getInfo.php?workbook=11_01.xlsx&amp;sheet=A0&amp;row=149&amp;col=12&amp;number=&amp;sourceID=11","")</f>
        <v/>
      </c>
      <c r="M149" s="4" t="str">
        <f>HYPERLINK("http://141.218.60.56/~jnz1568/getInfo.php?workbook=11_01.xlsx&amp;sheet=A0&amp;row=149&amp;col=13&amp;number=&amp;sourceID=11","")</f>
        <v/>
      </c>
      <c r="N149" s="4" t="str">
        <f>HYPERLINK("http://141.218.60.56/~jnz1568/getInfo.php?workbook=11_01.xlsx&amp;sheet=A0&amp;row=149&amp;col=14&amp;number=3.9058&amp;sourceID=12","3.9058")</f>
        <v>3.9058</v>
      </c>
      <c r="O149" s="4" t="str">
        <f>HYPERLINK("http://141.218.60.56/~jnz1568/getInfo.php?workbook=11_01.xlsx&amp;sheet=A0&amp;row=149&amp;col=15&amp;number=&amp;sourceID=12","")</f>
        <v/>
      </c>
      <c r="P149" s="4" t="str">
        <f>HYPERLINK("http://141.218.60.56/~jnz1568/getInfo.php?workbook=11_01.xlsx&amp;sheet=A0&amp;row=149&amp;col=16&amp;number=&amp;sourceID=12","")</f>
        <v/>
      </c>
      <c r="Q149" s="4" t="str">
        <f>HYPERLINK("http://141.218.60.56/~jnz1568/getInfo.php?workbook=11_01.xlsx&amp;sheet=A0&amp;row=149&amp;col=17&amp;number=3.9058&amp;sourceID=12","3.9058")</f>
        <v>3.9058</v>
      </c>
      <c r="R149" s="4" t="str">
        <f>HYPERLINK("http://141.218.60.56/~jnz1568/getInfo.php?workbook=11_01.xlsx&amp;sheet=A0&amp;row=149&amp;col=18&amp;number=&amp;sourceID=12","")</f>
        <v/>
      </c>
      <c r="S149" s="4" t="str">
        <f>HYPERLINK("http://141.218.60.56/~jnz1568/getInfo.php?workbook=11_01.xlsx&amp;sheet=A0&amp;row=149&amp;col=19&amp;number=&amp;sourceID=12","")</f>
        <v/>
      </c>
      <c r="T149" s="4" t="str">
        <f>HYPERLINK("http://141.218.60.56/~jnz1568/getInfo.php?workbook=11_01.xlsx&amp;sheet=A0&amp;row=149&amp;col=20&amp;number=&amp;sourceID=12","")</f>
        <v/>
      </c>
      <c r="U149" s="4" t="str">
        <f>HYPERLINK("http://141.218.60.56/~jnz1568/getInfo.php?workbook=11_01.xlsx&amp;sheet=A0&amp;row=149&amp;col=21&amp;number=&amp;sourceID=30","")</f>
        <v/>
      </c>
      <c r="V149" s="4" t="str">
        <f>HYPERLINK("http://141.218.60.56/~jnz1568/getInfo.php?workbook=11_01.xlsx&amp;sheet=A0&amp;row=149&amp;col=22&amp;number=&amp;sourceID=30","")</f>
        <v/>
      </c>
      <c r="W149" s="4" t="str">
        <f>HYPERLINK("http://141.218.60.56/~jnz1568/getInfo.php?workbook=11_01.xlsx&amp;sheet=A0&amp;row=149&amp;col=23&amp;number=&amp;sourceID=30","")</f>
        <v/>
      </c>
      <c r="X149" s="4" t="str">
        <f>HYPERLINK("http://141.218.60.56/~jnz1568/getInfo.php?workbook=11_01.xlsx&amp;sheet=A0&amp;row=149&amp;col=24&amp;number=&amp;sourceID=30","")</f>
        <v/>
      </c>
      <c r="Y149" s="4" t="str">
        <f>HYPERLINK("http://141.218.60.56/~jnz1568/getInfo.php?workbook=11_01.xlsx&amp;sheet=A0&amp;row=149&amp;col=25&amp;number=&amp;sourceID=30","")</f>
        <v/>
      </c>
      <c r="Z149" s="4" t="str">
        <f>HYPERLINK("http://141.218.60.56/~jnz1568/getInfo.php?workbook=11_01.xlsx&amp;sheet=A0&amp;row=149&amp;col=26&amp;number=&amp;sourceID=13","")</f>
        <v/>
      </c>
      <c r="AA149" s="4" t="str">
        <f>HYPERLINK("http://141.218.60.56/~jnz1568/getInfo.php?workbook=11_01.xlsx&amp;sheet=A0&amp;row=149&amp;col=27&amp;number=&amp;sourceID=13","")</f>
        <v/>
      </c>
      <c r="AB149" s="4" t="str">
        <f>HYPERLINK("http://141.218.60.56/~jnz1568/getInfo.php?workbook=11_01.xlsx&amp;sheet=A0&amp;row=149&amp;col=28&amp;number=&amp;sourceID=13","")</f>
        <v/>
      </c>
      <c r="AC149" s="4" t="str">
        <f>HYPERLINK("http://141.218.60.56/~jnz1568/getInfo.php?workbook=11_01.xlsx&amp;sheet=A0&amp;row=149&amp;col=29&amp;number=&amp;sourceID=13","")</f>
        <v/>
      </c>
      <c r="AD149" s="4" t="str">
        <f>HYPERLINK("http://141.218.60.56/~jnz1568/getInfo.php?workbook=11_01.xlsx&amp;sheet=A0&amp;row=149&amp;col=30&amp;number=&amp;sourceID=13","")</f>
        <v/>
      </c>
      <c r="AE149" s="4" t="str">
        <f>HYPERLINK("http://141.218.60.56/~jnz1568/getInfo.php?workbook=11_01.xlsx&amp;sheet=A0&amp;row=149&amp;col=31&amp;number=&amp;sourceID=13","")</f>
        <v/>
      </c>
    </row>
    <row r="150" spans="1:31">
      <c r="A150" s="3">
        <v>11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HYPERLINK("http://141.218.60.56/~jnz1568/getInfo.php?workbook=11_01.xlsx&amp;sheet=A0&amp;row=150&amp;col=6&amp;number=&amp;sourceID=18","")</f>
        <v/>
      </c>
      <c r="G150" s="4" t="str">
        <f>HYPERLINK("http://141.218.60.56/~jnz1568/getInfo.php?workbook=11_01.xlsx&amp;sheet=A0&amp;row=150&amp;col=7&amp;number==&amp;sourceID=11","=")</f>
        <v>=</v>
      </c>
      <c r="H150" s="4" t="str">
        <f>HYPERLINK("http://141.218.60.56/~jnz1568/getInfo.php?workbook=11_01.xlsx&amp;sheet=A0&amp;row=150&amp;col=8&amp;number=&amp;sourceID=11","")</f>
        <v/>
      </c>
      <c r="I150" s="4" t="str">
        <f>HYPERLINK("http://141.218.60.56/~jnz1568/getInfo.php?workbook=11_01.xlsx&amp;sheet=A0&amp;row=150&amp;col=9&amp;number=326390000&amp;sourceID=11","326390000")</f>
        <v>326390000</v>
      </c>
      <c r="J150" s="4" t="str">
        <f>HYPERLINK("http://141.218.60.56/~jnz1568/getInfo.php?workbook=11_01.xlsx&amp;sheet=A0&amp;row=150&amp;col=10&amp;number=&amp;sourceID=11","")</f>
        <v/>
      </c>
      <c r="K150" s="4" t="str">
        <f>HYPERLINK("http://141.218.60.56/~jnz1568/getInfo.php?workbook=11_01.xlsx&amp;sheet=A0&amp;row=150&amp;col=11&amp;number=67.035&amp;sourceID=11","67.035")</f>
        <v>67.035</v>
      </c>
      <c r="L150" s="4" t="str">
        <f>HYPERLINK("http://141.218.60.56/~jnz1568/getInfo.php?workbook=11_01.xlsx&amp;sheet=A0&amp;row=150&amp;col=12&amp;number=&amp;sourceID=11","")</f>
        <v/>
      </c>
      <c r="M150" s="4" t="str">
        <f>HYPERLINK("http://141.218.60.56/~jnz1568/getInfo.php?workbook=11_01.xlsx&amp;sheet=A0&amp;row=150&amp;col=13&amp;number=&amp;sourceID=11","")</f>
        <v/>
      </c>
      <c r="N150" s="4" t="str">
        <f>HYPERLINK("http://141.218.60.56/~jnz1568/getInfo.php?workbook=11_01.xlsx&amp;sheet=A0&amp;row=150&amp;col=14&amp;number=326400000&amp;sourceID=12","326400000")</f>
        <v>326400000</v>
      </c>
      <c r="O150" s="4" t="str">
        <f>HYPERLINK("http://141.218.60.56/~jnz1568/getInfo.php?workbook=11_01.xlsx&amp;sheet=A0&amp;row=150&amp;col=15&amp;number=&amp;sourceID=12","")</f>
        <v/>
      </c>
      <c r="P150" s="4" t="str">
        <f>HYPERLINK("http://141.218.60.56/~jnz1568/getInfo.php?workbook=11_01.xlsx&amp;sheet=A0&amp;row=150&amp;col=16&amp;number=326400000&amp;sourceID=12","326400000")</f>
        <v>326400000</v>
      </c>
      <c r="Q150" s="4" t="str">
        <f>HYPERLINK("http://141.218.60.56/~jnz1568/getInfo.php?workbook=11_01.xlsx&amp;sheet=A0&amp;row=150&amp;col=17&amp;number=&amp;sourceID=12","")</f>
        <v/>
      </c>
      <c r="R150" s="4" t="str">
        <f>HYPERLINK("http://141.218.60.56/~jnz1568/getInfo.php?workbook=11_01.xlsx&amp;sheet=A0&amp;row=150&amp;col=18&amp;number=67.037&amp;sourceID=12","67.037")</f>
        <v>67.037</v>
      </c>
      <c r="S150" s="4" t="str">
        <f>HYPERLINK("http://141.218.60.56/~jnz1568/getInfo.php?workbook=11_01.xlsx&amp;sheet=A0&amp;row=150&amp;col=19&amp;number=&amp;sourceID=12","")</f>
        <v/>
      </c>
      <c r="T150" s="4" t="str">
        <f>HYPERLINK("http://141.218.60.56/~jnz1568/getInfo.php?workbook=11_01.xlsx&amp;sheet=A0&amp;row=150&amp;col=20&amp;number=&amp;sourceID=12","")</f>
        <v/>
      </c>
      <c r="U150" s="4" t="str">
        <f>HYPERLINK("http://141.218.60.56/~jnz1568/getInfo.php?workbook=11_01.xlsx&amp;sheet=A0&amp;row=150&amp;col=21&amp;number=326400067.04&amp;sourceID=30","326400067.04")</f>
        <v>326400067.04</v>
      </c>
      <c r="V150" s="4" t="str">
        <f>HYPERLINK("http://141.218.60.56/~jnz1568/getInfo.php?workbook=11_01.xlsx&amp;sheet=A0&amp;row=150&amp;col=22&amp;number=&amp;sourceID=30","")</f>
        <v/>
      </c>
      <c r="W150" s="4" t="str">
        <f>HYPERLINK("http://141.218.60.56/~jnz1568/getInfo.php?workbook=11_01.xlsx&amp;sheet=A0&amp;row=150&amp;col=23&amp;number=326400000&amp;sourceID=30","326400000")</f>
        <v>326400000</v>
      </c>
      <c r="X150" s="4" t="str">
        <f>HYPERLINK("http://141.218.60.56/~jnz1568/getInfo.php?workbook=11_01.xlsx&amp;sheet=A0&amp;row=150&amp;col=24&amp;number=67.04&amp;sourceID=30","67.04")</f>
        <v>67.04</v>
      </c>
      <c r="Y150" s="4" t="str">
        <f>HYPERLINK("http://141.218.60.56/~jnz1568/getInfo.php?workbook=11_01.xlsx&amp;sheet=A0&amp;row=150&amp;col=25&amp;number=&amp;sourceID=30","")</f>
        <v/>
      </c>
      <c r="Z150" s="4" t="str">
        <f>HYPERLINK("http://141.218.60.56/~jnz1568/getInfo.php?workbook=11_01.xlsx&amp;sheet=A0&amp;row=150&amp;col=26&amp;number=&amp;sourceID=13","")</f>
        <v/>
      </c>
      <c r="AA150" s="4" t="str">
        <f>HYPERLINK("http://141.218.60.56/~jnz1568/getInfo.php?workbook=11_01.xlsx&amp;sheet=A0&amp;row=150&amp;col=27&amp;number=&amp;sourceID=13","")</f>
        <v/>
      </c>
      <c r="AB150" s="4" t="str">
        <f>HYPERLINK("http://141.218.60.56/~jnz1568/getInfo.php?workbook=11_01.xlsx&amp;sheet=A0&amp;row=150&amp;col=28&amp;number=&amp;sourceID=13","")</f>
        <v/>
      </c>
      <c r="AC150" s="4" t="str">
        <f>HYPERLINK("http://141.218.60.56/~jnz1568/getInfo.php?workbook=11_01.xlsx&amp;sheet=A0&amp;row=150&amp;col=29&amp;number=&amp;sourceID=13","")</f>
        <v/>
      </c>
      <c r="AD150" s="4" t="str">
        <f>HYPERLINK("http://141.218.60.56/~jnz1568/getInfo.php?workbook=11_01.xlsx&amp;sheet=A0&amp;row=150&amp;col=30&amp;number=&amp;sourceID=13","")</f>
        <v/>
      </c>
      <c r="AE150" s="4" t="str">
        <f>HYPERLINK("http://141.218.60.56/~jnz1568/getInfo.php?workbook=11_01.xlsx&amp;sheet=A0&amp;row=150&amp;col=31&amp;number=&amp;sourceID=13","")</f>
        <v/>
      </c>
    </row>
    <row r="151" spans="1:31">
      <c r="A151" s="3">
        <v>11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HYPERLINK("http://141.218.60.56/~jnz1568/getInfo.php?workbook=11_01.xlsx&amp;sheet=A0&amp;row=151&amp;col=6&amp;number=&amp;sourceID=18","")</f>
        <v/>
      </c>
      <c r="G151" s="4" t="str">
        <f>HYPERLINK("http://141.218.60.56/~jnz1568/getInfo.php?workbook=11_01.xlsx&amp;sheet=A0&amp;row=151&amp;col=7&amp;number==&amp;sourceID=11","=")</f>
        <v>=</v>
      </c>
      <c r="H151" s="4" t="str">
        <f>HYPERLINK("http://141.218.60.56/~jnz1568/getInfo.php?workbook=11_01.xlsx&amp;sheet=A0&amp;row=151&amp;col=8&amp;number=115620000000&amp;sourceID=11","115620000000")</f>
        <v>115620000000</v>
      </c>
      <c r="I151" s="4" t="str">
        <f>HYPERLINK("http://141.218.60.56/~jnz1568/getInfo.php?workbook=11_01.xlsx&amp;sheet=A0&amp;row=151&amp;col=9&amp;number=&amp;sourceID=11","")</f>
        <v/>
      </c>
      <c r="J151" s="4" t="str">
        <f>HYPERLINK("http://141.218.60.56/~jnz1568/getInfo.php?workbook=11_01.xlsx&amp;sheet=A0&amp;row=151&amp;col=10&amp;number=&amp;sourceID=11","")</f>
        <v/>
      </c>
      <c r="K151" s="4" t="str">
        <f>HYPERLINK("http://141.218.60.56/~jnz1568/getInfo.php?workbook=11_01.xlsx&amp;sheet=A0&amp;row=151&amp;col=11&amp;number=&amp;sourceID=11","")</f>
        <v/>
      </c>
      <c r="L151" s="4" t="str">
        <f>HYPERLINK("http://141.218.60.56/~jnz1568/getInfo.php?workbook=11_01.xlsx&amp;sheet=A0&amp;row=151&amp;col=12&amp;number=397.79&amp;sourceID=11","397.79")</f>
        <v>397.79</v>
      </c>
      <c r="M151" s="4" t="str">
        <f>HYPERLINK("http://141.218.60.56/~jnz1568/getInfo.php?workbook=11_01.xlsx&amp;sheet=A0&amp;row=151&amp;col=13&amp;number=&amp;sourceID=11","")</f>
        <v/>
      </c>
      <c r="N151" s="4" t="str">
        <f>HYPERLINK("http://141.218.60.56/~jnz1568/getInfo.php?workbook=11_01.xlsx&amp;sheet=A0&amp;row=151&amp;col=14&amp;number=115620000000&amp;sourceID=12","115620000000")</f>
        <v>115620000000</v>
      </c>
      <c r="O151" s="4" t="str">
        <f>HYPERLINK("http://141.218.60.56/~jnz1568/getInfo.php?workbook=11_01.xlsx&amp;sheet=A0&amp;row=151&amp;col=15&amp;number=115620000000&amp;sourceID=12","115620000000")</f>
        <v>115620000000</v>
      </c>
      <c r="P151" s="4" t="str">
        <f>HYPERLINK("http://141.218.60.56/~jnz1568/getInfo.php?workbook=11_01.xlsx&amp;sheet=A0&amp;row=151&amp;col=16&amp;number=&amp;sourceID=12","")</f>
        <v/>
      </c>
      <c r="Q151" s="4" t="str">
        <f>HYPERLINK("http://141.218.60.56/~jnz1568/getInfo.php?workbook=11_01.xlsx&amp;sheet=A0&amp;row=151&amp;col=17&amp;number=&amp;sourceID=12","")</f>
        <v/>
      </c>
      <c r="R151" s="4" t="str">
        <f>HYPERLINK("http://141.218.60.56/~jnz1568/getInfo.php?workbook=11_01.xlsx&amp;sheet=A0&amp;row=151&amp;col=18&amp;number=&amp;sourceID=12","")</f>
        <v/>
      </c>
      <c r="S151" s="4" t="str">
        <f>HYPERLINK("http://141.218.60.56/~jnz1568/getInfo.php?workbook=11_01.xlsx&amp;sheet=A0&amp;row=151&amp;col=19&amp;number=397.8&amp;sourceID=12","397.8")</f>
        <v>397.8</v>
      </c>
      <c r="T151" s="4" t="str">
        <f>HYPERLINK("http://141.218.60.56/~jnz1568/getInfo.php?workbook=11_01.xlsx&amp;sheet=A0&amp;row=151&amp;col=20&amp;number=&amp;sourceID=12","")</f>
        <v/>
      </c>
      <c r="U151" s="4" t="str">
        <f>HYPERLINK("http://141.218.60.56/~jnz1568/getInfo.php?workbook=11_01.xlsx&amp;sheet=A0&amp;row=151&amp;col=21&amp;number=1.15600000398e+11&amp;sourceID=30","1.15600000398e+11")</f>
        <v>1.15600000398e+11</v>
      </c>
      <c r="V151" s="4" t="str">
        <f>HYPERLINK("http://141.218.60.56/~jnz1568/getInfo.php?workbook=11_01.xlsx&amp;sheet=A0&amp;row=151&amp;col=22&amp;number=115600000000&amp;sourceID=30","115600000000")</f>
        <v>115600000000</v>
      </c>
      <c r="W151" s="4" t="str">
        <f>HYPERLINK("http://141.218.60.56/~jnz1568/getInfo.php?workbook=11_01.xlsx&amp;sheet=A0&amp;row=151&amp;col=23&amp;number=&amp;sourceID=30","")</f>
        <v/>
      </c>
      <c r="X151" s="4" t="str">
        <f>HYPERLINK("http://141.218.60.56/~jnz1568/getInfo.php?workbook=11_01.xlsx&amp;sheet=A0&amp;row=151&amp;col=24&amp;number=&amp;sourceID=30","")</f>
        <v/>
      </c>
      <c r="Y151" s="4" t="str">
        <f>HYPERLINK("http://141.218.60.56/~jnz1568/getInfo.php?workbook=11_01.xlsx&amp;sheet=A0&amp;row=151&amp;col=25&amp;number=397.8&amp;sourceID=30","397.8")</f>
        <v>397.8</v>
      </c>
      <c r="Z151" s="4" t="str">
        <f>HYPERLINK("http://141.218.60.56/~jnz1568/getInfo.php?workbook=11_01.xlsx&amp;sheet=A0&amp;row=151&amp;col=26&amp;number=&amp;sourceID=13","")</f>
        <v/>
      </c>
      <c r="AA151" s="4" t="str">
        <f>HYPERLINK("http://141.218.60.56/~jnz1568/getInfo.php?workbook=11_01.xlsx&amp;sheet=A0&amp;row=151&amp;col=27&amp;number=&amp;sourceID=13","")</f>
        <v/>
      </c>
      <c r="AB151" s="4" t="str">
        <f>HYPERLINK("http://141.218.60.56/~jnz1568/getInfo.php?workbook=11_01.xlsx&amp;sheet=A0&amp;row=151&amp;col=28&amp;number=&amp;sourceID=13","")</f>
        <v/>
      </c>
      <c r="AC151" s="4" t="str">
        <f>HYPERLINK("http://141.218.60.56/~jnz1568/getInfo.php?workbook=11_01.xlsx&amp;sheet=A0&amp;row=151&amp;col=29&amp;number=&amp;sourceID=13","")</f>
        <v/>
      </c>
      <c r="AD151" s="4" t="str">
        <f>HYPERLINK("http://141.218.60.56/~jnz1568/getInfo.php?workbook=11_01.xlsx&amp;sheet=A0&amp;row=151&amp;col=30&amp;number=&amp;sourceID=13","")</f>
        <v/>
      </c>
      <c r="AE151" s="4" t="str">
        <f>HYPERLINK("http://141.218.60.56/~jnz1568/getInfo.php?workbook=11_01.xlsx&amp;sheet=A0&amp;row=151&amp;col=31&amp;number=&amp;sourceID=13","")</f>
        <v/>
      </c>
    </row>
    <row r="152" spans="1:31">
      <c r="A152" s="3">
        <v>11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HYPERLINK("http://141.218.60.56/~jnz1568/getInfo.php?workbook=11_01.xlsx&amp;sheet=A0&amp;row=152&amp;col=6&amp;number=&amp;sourceID=18","")</f>
        <v/>
      </c>
      <c r="G152" s="4" t="str">
        <f>HYPERLINK("http://141.218.60.56/~jnz1568/getInfo.php?workbook=11_01.xlsx&amp;sheet=A0&amp;row=152&amp;col=7&amp;number==&amp;sourceID=11","=")</f>
        <v>=</v>
      </c>
      <c r="H152" s="4" t="str">
        <f>HYPERLINK("http://141.218.60.56/~jnz1568/getInfo.php?workbook=11_01.xlsx&amp;sheet=A0&amp;row=152&amp;col=8&amp;number=&amp;sourceID=11","")</f>
        <v/>
      </c>
      <c r="I152" s="4" t="str">
        <f>HYPERLINK("http://141.218.60.56/~jnz1568/getInfo.php?workbook=11_01.xlsx&amp;sheet=A0&amp;row=152&amp;col=9&amp;number=1753100&amp;sourceID=11","1753100")</f>
        <v>1753100</v>
      </c>
      <c r="J152" s="4" t="str">
        <f>HYPERLINK("http://141.218.60.56/~jnz1568/getInfo.php?workbook=11_01.xlsx&amp;sheet=A0&amp;row=152&amp;col=10&amp;number=&amp;sourceID=11","")</f>
        <v/>
      </c>
      <c r="K152" s="4" t="str">
        <f>HYPERLINK("http://141.218.60.56/~jnz1568/getInfo.php?workbook=11_01.xlsx&amp;sheet=A0&amp;row=152&amp;col=11&amp;number=0.88154&amp;sourceID=11","0.88154")</f>
        <v>0.88154</v>
      </c>
      <c r="L152" s="4" t="str">
        <f>HYPERLINK("http://141.218.60.56/~jnz1568/getInfo.php?workbook=11_01.xlsx&amp;sheet=A0&amp;row=152&amp;col=12&amp;number=&amp;sourceID=11","")</f>
        <v/>
      </c>
      <c r="M152" s="4" t="str">
        <f>HYPERLINK("http://141.218.60.56/~jnz1568/getInfo.php?workbook=11_01.xlsx&amp;sheet=A0&amp;row=152&amp;col=13&amp;number=&amp;sourceID=11","")</f>
        <v/>
      </c>
      <c r="N152" s="4" t="str">
        <f>HYPERLINK("http://141.218.60.56/~jnz1568/getInfo.php?workbook=11_01.xlsx&amp;sheet=A0&amp;row=152&amp;col=14&amp;number=1753200&amp;sourceID=12","1753200")</f>
        <v>1753200</v>
      </c>
      <c r="O152" s="4" t="str">
        <f>HYPERLINK("http://141.218.60.56/~jnz1568/getInfo.php?workbook=11_01.xlsx&amp;sheet=A0&amp;row=152&amp;col=15&amp;number=&amp;sourceID=12","")</f>
        <v/>
      </c>
      <c r="P152" s="4" t="str">
        <f>HYPERLINK("http://141.218.60.56/~jnz1568/getInfo.php?workbook=11_01.xlsx&amp;sheet=A0&amp;row=152&amp;col=16&amp;number=1753200&amp;sourceID=12","1753200")</f>
        <v>1753200</v>
      </c>
      <c r="Q152" s="4" t="str">
        <f>HYPERLINK("http://141.218.60.56/~jnz1568/getInfo.php?workbook=11_01.xlsx&amp;sheet=A0&amp;row=152&amp;col=17&amp;number=&amp;sourceID=12","")</f>
        <v/>
      </c>
      <c r="R152" s="4" t="str">
        <f>HYPERLINK("http://141.218.60.56/~jnz1568/getInfo.php?workbook=11_01.xlsx&amp;sheet=A0&amp;row=152&amp;col=18&amp;number=0.88138&amp;sourceID=12","0.88138")</f>
        <v>0.88138</v>
      </c>
      <c r="S152" s="4" t="str">
        <f>HYPERLINK("http://141.218.60.56/~jnz1568/getInfo.php?workbook=11_01.xlsx&amp;sheet=A0&amp;row=152&amp;col=19&amp;number=&amp;sourceID=12","")</f>
        <v/>
      </c>
      <c r="T152" s="4" t="str">
        <f>HYPERLINK("http://141.218.60.56/~jnz1568/getInfo.php?workbook=11_01.xlsx&amp;sheet=A0&amp;row=152&amp;col=20&amp;number=&amp;sourceID=12","")</f>
        <v/>
      </c>
      <c r="U152" s="4" t="str">
        <f>HYPERLINK("http://141.218.60.56/~jnz1568/getInfo.php?workbook=11_01.xlsx&amp;sheet=A0&amp;row=152&amp;col=21&amp;number=1753000.8816&amp;sourceID=30","1753000.8816")</f>
        <v>1753000.8816</v>
      </c>
      <c r="V152" s="4" t="str">
        <f>HYPERLINK("http://141.218.60.56/~jnz1568/getInfo.php?workbook=11_01.xlsx&amp;sheet=A0&amp;row=152&amp;col=22&amp;number=&amp;sourceID=30","")</f>
        <v/>
      </c>
      <c r="W152" s="4" t="str">
        <f>HYPERLINK("http://141.218.60.56/~jnz1568/getInfo.php?workbook=11_01.xlsx&amp;sheet=A0&amp;row=152&amp;col=23&amp;number=1753000&amp;sourceID=30","1753000")</f>
        <v>1753000</v>
      </c>
      <c r="X152" s="4" t="str">
        <f>HYPERLINK("http://141.218.60.56/~jnz1568/getInfo.php?workbook=11_01.xlsx&amp;sheet=A0&amp;row=152&amp;col=24&amp;number=0.8816&amp;sourceID=30","0.8816")</f>
        <v>0.8816</v>
      </c>
      <c r="Y152" s="4" t="str">
        <f>HYPERLINK("http://141.218.60.56/~jnz1568/getInfo.php?workbook=11_01.xlsx&amp;sheet=A0&amp;row=152&amp;col=25&amp;number=&amp;sourceID=30","")</f>
        <v/>
      </c>
      <c r="Z152" s="4" t="str">
        <f>HYPERLINK("http://141.218.60.56/~jnz1568/getInfo.php?workbook=11_01.xlsx&amp;sheet=A0&amp;row=152&amp;col=26&amp;number=&amp;sourceID=13","")</f>
        <v/>
      </c>
      <c r="AA152" s="4" t="str">
        <f>HYPERLINK("http://141.218.60.56/~jnz1568/getInfo.php?workbook=11_01.xlsx&amp;sheet=A0&amp;row=152&amp;col=27&amp;number=&amp;sourceID=13","")</f>
        <v/>
      </c>
      <c r="AB152" s="4" t="str">
        <f>HYPERLINK("http://141.218.60.56/~jnz1568/getInfo.php?workbook=11_01.xlsx&amp;sheet=A0&amp;row=152&amp;col=28&amp;number=&amp;sourceID=13","")</f>
        <v/>
      </c>
      <c r="AC152" s="4" t="str">
        <f>HYPERLINK("http://141.218.60.56/~jnz1568/getInfo.php?workbook=11_01.xlsx&amp;sheet=A0&amp;row=152&amp;col=29&amp;number=&amp;sourceID=13","")</f>
        <v/>
      </c>
      <c r="AD152" s="4" t="str">
        <f>HYPERLINK("http://141.218.60.56/~jnz1568/getInfo.php?workbook=11_01.xlsx&amp;sheet=A0&amp;row=152&amp;col=30&amp;number=&amp;sourceID=13","")</f>
        <v/>
      </c>
      <c r="AE152" s="4" t="str">
        <f>HYPERLINK("http://141.218.60.56/~jnz1568/getInfo.php?workbook=11_01.xlsx&amp;sheet=A0&amp;row=152&amp;col=31&amp;number=&amp;sourceID=13","")</f>
        <v/>
      </c>
    </row>
    <row r="153" spans="1:31">
      <c r="A153" s="3">
        <v>11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HYPERLINK("http://141.218.60.56/~jnz1568/getInfo.php?workbook=11_01.xlsx&amp;sheet=A0&amp;row=153&amp;col=6&amp;number=&amp;sourceID=18","")</f>
        <v/>
      </c>
      <c r="G153" s="4" t="str">
        <f>HYPERLINK("http://141.218.60.56/~jnz1568/getInfo.php?workbook=11_01.xlsx&amp;sheet=A0&amp;row=153&amp;col=7&amp;number==&amp;sourceID=11","=")</f>
        <v>=</v>
      </c>
      <c r="H153" s="4" t="str">
        <f>HYPERLINK("http://141.218.60.56/~jnz1568/getInfo.php?workbook=11_01.xlsx&amp;sheet=A0&amp;row=153&amp;col=8&amp;number=22972000000&amp;sourceID=11","22972000000")</f>
        <v>22972000000</v>
      </c>
      <c r="I153" s="4" t="str">
        <f>HYPERLINK("http://141.218.60.56/~jnz1568/getInfo.php?workbook=11_01.xlsx&amp;sheet=A0&amp;row=153&amp;col=9&amp;number=&amp;sourceID=11","")</f>
        <v/>
      </c>
      <c r="J153" s="4" t="str">
        <f>HYPERLINK("http://141.218.60.56/~jnz1568/getInfo.php?workbook=11_01.xlsx&amp;sheet=A0&amp;row=153&amp;col=10&amp;number=153.61&amp;sourceID=11","153.61")</f>
        <v>153.61</v>
      </c>
      <c r="K153" s="4" t="str">
        <f>HYPERLINK("http://141.218.60.56/~jnz1568/getInfo.php?workbook=11_01.xlsx&amp;sheet=A0&amp;row=153&amp;col=11&amp;number=&amp;sourceID=11","")</f>
        <v/>
      </c>
      <c r="L153" s="4" t="str">
        <f>HYPERLINK("http://141.218.60.56/~jnz1568/getInfo.php?workbook=11_01.xlsx&amp;sheet=A0&amp;row=153&amp;col=12&amp;number=&amp;sourceID=11","")</f>
        <v/>
      </c>
      <c r="M153" s="4" t="str">
        <f>HYPERLINK("http://141.218.60.56/~jnz1568/getInfo.php?workbook=11_01.xlsx&amp;sheet=A0&amp;row=153&amp;col=13&amp;number=&amp;sourceID=11","")</f>
        <v/>
      </c>
      <c r="N153" s="4" t="str">
        <f>HYPERLINK("http://141.218.60.56/~jnz1568/getInfo.php?workbook=11_01.xlsx&amp;sheet=A0&amp;row=153&amp;col=14&amp;number=22973000000&amp;sourceID=12","22973000000")</f>
        <v>22973000000</v>
      </c>
      <c r="O153" s="4" t="str">
        <f>HYPERLINK("http://141.218.60.56/~jnz1568/getInfo.php?workbook=11_01.xlsx&amp;sheet=A0&amp;row=153&amp;col=15&amp;number=22973000000&amp;sourceID=12","22973000000")</f>
        <v>22973000000</v>
      </c>
      <c r="P153" s="4" t="str">
        <f>HYPERLINK("http://141.218.60.56/~jnz1568/getInfo.php?workbook=11_01.xlsx&amp;sheet=A0&amp;row=153&amp;col=16&amp;number=&amp;sourceID=12","")</f>
        <v/>
      </c>
      <c r="Q153" s="4" t="str">
        <f>HYPERLINK("http://141.218.60.56/~jnz1568/getInfo.php?workbook=11_01.xlsx&amp;sheet=A0&amp;row=153&amp;col=17&amp;number=153.61&amp;sourceID=12","153.61")</f>
        <v>153.61</v>
      </c>
      <c r="R153" s="4" t="str">
        <f>HYPERLINK("http://141.218.60.56/~jnz1568/getInfo.php?workbook=11_01.xlsx&amp;sheet=A0&amp;row=153&amp;col=18&amp;number=&amp;sourceID=12","")</f>
        <v/>
      </c>
      <c r="S153" s="4" t="str">
        <f>HYPERLINK("http://141.218.60.56/~jnz1568/getInfo.php?workbook=11_01.xlsx&amp;sheet=A0&amp;row=153&amp;col=19&amp;number=&amp;sourceID=12","")</f>
        <v/>
      </c>
      <c r="T153" s="4" t="str">
        <f>HYPERLINK("http://141.218.60.56/~jnz1568/getInfo.php?workbook=11_01.xlsx&amp;sheet=A0&amp;row=153&amp;col=20&amp;number=&amp;sourceID=12","")</f>
        <v/>
      </c>
      <c r="U153" s="4" t="str">
        <f>HYPERLINK("http://141.218.60.56/~jnz1568/getInfo.php?workbook=11_01.xlsx&amp;sheet=A0&amp;row=153&amp;col=21&amp;number=22970000000&amp;sourceID=30","22970000000")</f>
        <v>22970000000</v>
      </c>
      <c r="V153" s="4" t="str">
        <f>HYPERLINK("http://141.218.60.56/~jnz1568/getInfo.php?workbook=11_01.xlsx&amp;sheet=A0&amp;row=153&amp;col=22&amp;number=22970000000&amp;sourceID=30","22970000000")</f>
        <v>22970000000</v>
      </c>
      <c r="W153" s="4" t="str">
        <f>HYPERLINK("http://141.218.60.56/~jnz1568/getInfo.php?workbook=11_01.xlsx&amp;sheet=A0&amp;row=153&amp;col=23&amp;number=&amp;sourceID=30","")</f>
        <v/>
      </c>
      <c r="X153" s="4" t="str">
        <f>HYPERLINK("http://141.218.60.56/~jnz1568/getInfo.php?workbook=11_01.xlsx&amp;sheet=A0&amp;row=153&amp;col=24&amp;number=&amp;sourceID=30","")</f>
        <v/>
      </c>
      <c r="Y153" s="4" t="str">
        <f>HYPERLINK("http://141.218.60.56/~jnz1568/getInfo.php?workbook=11_01.xlsx&amp;sheet=A0&amp;row=153&amp;col=25&amp;number=&amp;sourceID=30","")</f>
        <v/>
      </c>
      <c r="Z153" s="4" t="str">
        <f>HYPERLINK("http://141.218.60.56/~jnz1568/getInfo.php?workbook=11_01.xlsx&amp;sheet=A0&amp;row=153&amp;col=26&amp;number=&amp;sourceID=13","")</f>
        <v/>
      </c>
      <c r="AA153" s="4" t="str">
        <f>HYPERLINK("http://141.218.60.56/~jnz1568/getInfo.php?workbook=11_01.xlsx&amp;sheet=A0&amp;row=153&amp;col=27&amp;number=&amp;sourceID=13","")</f>
        <v/>
      </c>
      <c r="AB153" s="4" t="str">
        <f>HYPERLINK("http://141.218.60.56/~jnz1568/getInfo.php?workbook=11_01.xlsx&amp;sheet=A0&amp;row=153&amp;col=28&amp;number=&amp;sourceID=13","")</f>
        <v/>
      </c>
      <c r="AC153" s="4" t="str">
        <f>HYPERLINK("http://141.218.60.56/~jnz1568/getInfo.php?workbook=11_01.xlsx&amp;sheet=A0&amp;row=153&amp;col=29&amp;number=&amp;sourceID=13","")</f>
        <v/>
      </c>
      <c r="AD153" s="4" t="str">
        <f>HYPERLINK("http://141.218.60.56/~jnz1568/getInfo.php?workbook=11_01.xlsx&amp;sheet=A0&amp;row=153&amp;col=30&amp;number=&amp;sourceID=13","")</f>
        <v/>
      </c>
      <c r="AE153" s="4" t="str">
        <f>HYPERLINK("http://141.218.60.56/~jnz1568/getInfo.php?workbook=11_01.xlsx&amp;sheet=A0&amp;row=153&amp;col=31&amp;number=&amp;sourceID=13","")</f>
        <v/>
      </c>
    </row>
    <row r="154" spans="1:31">
      <c r="A154" s="3">
        <v>11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HYPERLINK("http://141.218.60.56/~jnz1568/getInfo.php?workbook=11_01.xlsx&amp;sheet=A0&amp;row=154&amp;col=6&amp;number=&amp;sourceID=18","")</f>
        <v/>
      </c>
      <c r="G154" s="4" t="str">
        <f>HYPERLINK("http://141.218.60.56/~jnz1568/getInfo.php?workbook=11_01.xlsx&amp;sheet=A0&amp;row=154&amp;col=7&amp;number==&amp;sourceID=11","=")</f>
        <v>=</v>
      </c>
      <c r="H154" s="4" t="str">
        <f>HYPERLINK("http://141.218.60.56/~jnz1568/getInfo.php?workbook=11_01.xlsx&amp;sheet=A0&amp;row=154&amp;col=8&amp;number=41481000000&amp;sourceID=11","41481000000")</f>
        <v>41481000000</v>
      </c>
      <c r="I154" s="4" t="str">
        <f>HYPERLINK("http://141.218.60.56/~jnz1568/getInfo.php?workbook=11_01.xlsx&amp;sheet=A0&amp;row=154&amp;col=9&amp;number=&amp;sourceID=11","")</f>
        <v/>
      </c>
      <c r="J154" s="4" t="str">
        <f>HYPERLINK("http://141.218.60.56/~jnz1568/getInfo.php?workbook=11_01.xlsx&amp;sheet=A0&amp;row=154&amp;col=10&amp;number=&amp;sourceID=11","")</f>
        <v/>
      </c>
      <c r="K154" s="4" t="str">
        <f>HYPERLINK("http://141.218.60.56/~jnz1568/getInfo.php?workbook=11_01.xlsx&amp;sheet=A0&amp;row=154&amp;col=11&amp;number=&amp;sourceID=11","")</f>
        <v/>
      </c>
      <c r="L154" s="4" t="str">
        <f>HYPERLINK("http://141.218.60.56/~jnz1568/getInfo.php?workbook=11_01.xlsx&amp;sheet=A0&amp;row=154&amp;col=12&amp;number=16.391&amp;sourceID=11","16.391")</f>
        <v>16.391</v>
      </c>
      <c r="M154" s="4" t="str">
        <f>HYPERLINK("http://141.218.60.56/~jnz1568/getInfo.php?workbook=11_01.xlsx&amp;sheet=A0&amp;row=154&amp;col=13&amp;number=&amp;sourceID=11","")</f>
        <v/>
      </c>
      <c r="N154" s="4" t="str">
        <f>HYPERLINK("http://141.218.60.56/~jnz1568/getInfo.php?workbook=11_01.xlsx&amp;sheet=A0&amp;row=154&amp;col=14&amp;number=41482000000&amp;sourceID=12","41482000000")</f>
        <v>41482000000</v>
      </c>
      <c r="O154" s="4" t="str">
        <f>HYPERLINK("http://141.218.60.56/~jnz1568/getInfo.php?workbook=11_01.xlsx&amp;sheet=A0&amp;row=154&amp;col=15&amp;number=41482000000&amp;sourceID=12","41482000000")</f>
        <v>41482000000</v>
      </c>
      <c r="P154" s="4" t="str">
        <f>HYPERLINK("http://141.218.60.56/~jnz1568/getInfo.php?workbook=11_01.xlsx&amp;sheet=A0&amp;row=154&amp;col=16&amp;number=&amp;sourceID=12","")</f>
        <v/>
      </c>
      <c r="Q154" s="4" t="str">
        <f>HYPERLINK("http://141.218.60.56/~jnz1568/getInfo.php?workbook=11_01.xlsx&amp;sheet=A0&amp;row=154&amp;col=17&amp;number=&amp;sourceID=12","")</f>
        <v/>
      </c>
      <c r="R154" s="4" t="str">
        <f>HYPERLINK("http://141.218.60.56/~jnz1568/getInfo.php?workbook=11_01.xlsx&amp;sheet=A0&amp;row=154&amp;col=18&amp;number=&amp;sourceID=12","")</f>
        <v/>
      </c>
      <c r="S154" s="4" t="str">
        <f>HYPERLINK("http://141.218.60.56/~jnz1568/getInfo.php?workbook=11_01.xlsx&amp;sheet=A0&amp;row=154&amp;col=19&amp;number=16.391&amp;sourceID=12","16.391")</f>
        <v>16.391</v>
      </c>
      <c r="T154" s="4" t="str">
        <f>HYPERLINK("http://141.218.60.56/~jnz1568/getInfo.php?workbook=11_01.xlsx&amp;sheet=A0&amp;row=154&amp;col=20&amp;number=&amp;sourceID=12","")</f>
        <v/>
      </c>
      <c r="U154" s="4" t="str">
        <f>HYPERLINK("http://141.218.60.56/~jnz1568/getInfo.php?workbook=11_01.xlsx&amp;sheet=A0&amp;row=154&amp;col=21&amp;number=41480000016.4&amp;sourceID=30","41480000016.4")</f>
        <v>41480000016.4</v>
      </c>
      <c r="V154" s="4" t="str">
        <f>HYPERLINK("http://141.218.60.56/~jnz1568/getInfo.php?workbook=11_01.xlsx&amp;sheet=A0&amp;row=154&amp;col=22&amp;number=41480000000&amp;sourceID=30","41480000000")</f>
        <v>41480000000</v>
      </c>
      <c r="W154" s="4" t="str">
        <f>HYPERLINK("http://141.218.60.56/~jnz1568/getInfo.php?workbook=11_01.xlsx&amp;sheet=A0&amp;row=154&amp;col=23&amp;number=&amp;sourceID=30","")</f>
        <v/>
      </c>
      <c r="X154" s="4" t="str">
        <f>HYPERLINK("http://141.218.60.56/~jnz1568/getInfo.php?workbook=11_01.xlsx&amp;sheet=A0&amp;row=154&amp;col=24&amp;number=&amp;sourceID=30","")</f>
        <v/>
      </c>
      <c r="Y154" s="4" t="str">
        <f>HYPERLINK("http://141.218.60.56/~jnz1568/getInfo.php?workbook=11_01.xlsx&amp;sheet=A0&amp;row=154&amp;col=25&amp;number=16.39&amp;sourceID=30","16.39")</f>
        <v>16.39</v>
      </c>
      <c r="Z154" s="4" t="str">
        <f>HYPERLINK("http://141.218.60.56/~jnz1568/getInfo.php?workbook=11_01.xlsx&amp;sheet=A0&amp;row=154&amp;col=26&amp;number=&amp;sourceID=13","")</f>
        <v/>
      </c>
      <c r="AA154" s="4" t="str">
        <f>HYPERLINK("http://141.218.60.56/~jnz1568/getInfo.php?workbook=11_01.xlsx&amp;sheet=A0&amp;row=154&amp;col=27&amp;number=&amp;sourceID=13","")</f>
        <v/>
      </c>
      <c r="AB154" s="4" t="str">
        <f>HYPERLINK("http://141.218.60.56/~jnz1568/getInfo.php?workbook=11_01.xlsx&amp;sheet=A0&amp;row=154&amp;col=28&amp;number=&amp;sourceID=13","")</f>
        <v/>
      </c>
      <c r="AC154" s="4" t="str">
        <f>HYPERLINK("http://141.218.60.56/~jnz1568/getInfo.php?workbook=11_01.xlsx&amp;sheet=A0&amp;row=154&amp;col=29&amp;number=&amp;sourceID=13","")</f>
        <v/>
      </c>
      <c r="AD154" s="4" t="str">
        <f>HYPERLINK("http://141.218.60.56/~jnz1568/getInfo.php?workbook=11_01.xlsx&amp;sheet=A0&amp;row=154&amp;col=30&amp;number=&amp;sourceID=13","")</f>
        <v/>
      </c>
      <c r="AE154" s="4" t="str">
        <f>HYPERLINK("http://141.218.60.56/~jnz1568/getInfo.php?workbook=11_01.xlsx&amp;sheet=A0&amp;row=154&amp;col=31&amp;number=&amp;sourceID=13","")</f>
        <v/>
      </c>
    </row>
    <row r="155" spans="1:31">
      <c r="A155" s="3">
        <v>11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HYPERLINK("http://141.218.60.56/~jnz1568/getInfo.php?workbook=11_01.xlsx&amp;sheet=A0&amp;row=155&amp;col=6&amp;number=&amp;sourceID=18","")</f>
        <v/>
      </c>
      <c r="G155" s="4" t="str">
        <f>HYPERLINK("http://141.218.60.56/~jnz1568/getInfo.php?workbook=11_01.xlsx&amp;sheet=A0&amp;row=155&amp;col=7&amp;number==&amp;sourceID=11","=")</f>
        <v>=</v>
      </c>
      <c r="H155" s="4" t="str">
        <f>HYPERLINK("http://141.218.60.56/~jnz1568/getInfo.php?workbook=11_01.xlsx&amp;sheet=A0&amp;row=155&amp;col=8&amp;number=&amp;sourceID=11","")</f>
        <v/>
      </c>
      <c r="I155" s="4" t="str">
        <f>HYPERLINK("http://141.218.60.56/~jnz1568/getInfo.php?workbook=11_01.xlsx&amp;sheet=A0&amp;row=155&amp;col=9&amp;number=1946100&amp;sourceID=11","1946100")</f>
        <v>1946100</v>
      </c>
      <c r="J155" s="4" t="str">
        <f>HYPERLINK("http://141.218.60.56/~jnz1568/getInfo.php?workbook=11_01.xlsx&amp;sheet=A0&amp;row=155&amp;col=10&amp;number=&amp;sourceID=11","")</f>
        <v/>
      </c>
      <c r="K155" s="4" t="str">
        <f>HYPERLINK("http://141.218.60.56/~jnz1568/getInfo.php?workbook=11_01.xlsx&amp;sheet=A0&amp;row=155&amp;col=11&amp;number=0.018344&amp;sourceID=11","0.018344")</f>
        <v>0.018344</v>
      </c>
      <c r="L155" s="4" t="str">
        <f>HYPERLINK("http://141.218.60.56/~jnz1568/getInfo.php?workbook=11_01.xlsx&amp;sheet=A0&amp;row=155&amp;col=12&amp;number=&amp;sourceID=11","")</f>
        <v/>
      </c>
      <c r="M155" s="4" t="str">
        <f>HYPERLINK("http://141.218.60.56/~jnz1568/getInfo.php?workbook=11_01.xlsx&amp;sheet=A0&amp;row=155&amp;col=13&amp;number=&amp;sourceID=11","")</f>
        <v/>
      </c>
      <c r="N155" s="4" t="str">
        <f>HYPERLINK("http://141.218.60.56/~jnz1568/getInfo.php?workbook=11_01.xlsx&amp;sheet=A0&amp;row=155&amp;col=14&amp;number=1946200&amp;sourceID=12","1946200")</f>
        <v>1946200</v>
      </c>
      <c r="O155" s="4" t="str">
        <f>HYPERLINK("http://141.218.60.56/~jnz1568/getInfo.php?workbook=11_01.xlsx&amp;sheet=A0&amp;row=155&amp;col=15&amp;number=&amp;sourceID=12","")</f>
        <v/>
      </c>
      <c r="P155" s="4" t="str">
        <f>HYPERLINK("http://141.218.60.56/~jnz1568/getInfo.php?workbook=11_01.xlsx&amp;sheet=A0&amp;row=155&amp;col=16&amp;number=1946200&amp;sourceID=12","1946200")</f>
        <v>1946200</v>
      </c>
      <c r="Q155" s="4" t="str">
        <f>HYPERLINK("http://141.218.60.56/~jnz1568/getInfo.php?workbook=11_01.xlsx&amp;sheet=A0&amp;row=155&amp;col=17&amp;number=&amp;sourceID=12","")</f>
        <v/>
      </c>
      <c r="R155" s="4" t="str">
        <f>HYPERLINK("http://141.218.60.56/~jnz1568/getInfo.php?workbook=11_01.xlsx&amp;sheet=A0&amp;row=155&amp;col=18&amp;number=0.018345&amp;sourceID=12","0.018345")</f>
        <v>0.018345</v>
      </c>
      <c r="S155" s="4" t="str">
        <f>HYPERLINK("http://141.218.60.56/~jnz1568/getInfo.php?workbook=11_01.xlsx&amp;sheet=A0&amp;row=155&amp;col=19&amp;number=&amp;sourceID=12","")</f>
        <v/>
      </c>
      <c r="T155" s="4" t="str">
        <f>HYPERLINK("http://141.218.60.56/~jnz1568/getInfo.php?workbook=11_01.xlsx&amp;sheet=A0&amp;row=155&amp;col=20&amp;number=&amp;sourceID=12","")</f>
        <v/>
      </c>
      <c r="U155" s="4" t="str">
        <f>HYPERLINK("http://141.218.60.56/~jnz1568/getInfo.php?workbook=11_01.xlsx&amp;sheet=A0&amp;row=155&amp;col=21&amp;number=1946000.01835&amp;sourceID=30","1946000.01835")</f>
        <v>1946000.01835</v>
      </c>
      <c r="V155" s="4" t="str">
        <f>HYPERLINK("http://141.218.60.56/~jnz1568/getInfo.php?workbook=11_01.xlsx&amp;sheet=A0&amp;row=155&amp;col=22&amp;number=&amp;sourceID=30","")</f>
        <v/>
      </c>
      <c r="W155" s="4" t="str">
        <f>HYPERLINK("http://141.218.60.56/~jnz1568/getInfo.php?workbook=11_01.xlsx&amp;sheet=A0&amp;row=155&amp;col=23&amp;number=1946000&amp;sourceID=30","1946000")</f>
        <v>1946000</v>
      </c>
      <c r="X155" s="4" t="str">
        <f>HYPERLINK("http://141.218.60.56/~jnz1568/getInfo.php?workbook=11_01.xlsx&amp;sheet=A0&amp;row=155&amp;col=24&amp;number=0.01835&amp;sourceID=30","0.01835")</f>
        <v>0.01835</v>
      </c>
      <c r="Y155" s="4" t="str">
        <f>HYPERLINK("http://141.218.60.56/~jnz1568/getInfo.php?workbook=11_01.xlsx&amp;sheet=A0&amp;row=155&amp;col=25&amp;number=&amp;sourceID=30","")</f>
        <v/>
      </c>
      <c r="Z155" s="4" t="str">
        <f>HYPERLINK("http://141.218.60.56/~jnz1568/getInfo.php?workbook=11_01.xlsx&amp;sheet=A0&amp;row=155&amp;col=26&amp;number=&amp;sourceID=13","")</f>
        <v/>
      </c>
      <c r="AA155" s="4" t="str">
        <f>HYPERLINK("http://141.218.60.56/~jnz1568/getInfo.php?workbook=11_01.xlsx&amp;sheet=A0&amp;row=155&amp;col=27&amp;number=&amp;sourceID=13","")</f>
        <v/>
      </c>
      <c r="AB155" s="4" t="str">
        <f>HYPERLINK("http://141.218.60.56/~jnz1568/getInfo.php?workbook=11_01.xlsx&amp;sheet=A0&amp;row=155&amp;col=28&amp;number=&amp;sourceID=13","")</f>
        <v/>
      </c>
      <c r="AC155" s="4" t="str">
        <f>HYPERLINK("http://141.218.60.56/~jnz1568/getInfo.php?workbook=11_01.xlsx&amp;sheet=A0&amp;row=155&amp;col=29&amp;number=&amp;sourceID=13","")</f>
        <v/>
      </c>
      <c r="AD155" s="4" t="str">
        <f>HYPERLINK("http://141.218.60.56/~jnz1568/getInfo.php?workbook=11_01.xlsx&amp;sheet=A0&amp;row=155&amp;col=30&amp;number=&amp;sourceID=13","")</f>
        <v/>
      </c>
      <c r="AE155" s="4" t="str">
        <f>HYPERLINK("http://141.218.60.56/~jnz1568/getInfo.php?workbook=11_01.xlsx&amp;sheet=A0&amp;row=155&amp;col=31&amp;number=&amp;sourceID=13","")</f>
        <v/>
      </c>
    </row>
    <row r="156" spans="1:31">
      <c r="A156" s="3">
        <v>11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HYPERLINK("http://141.218.60.56/~jnz1568/getInfo.php?workbook=11_01.xlsx&amp;sheet=A0&amp;row=156&amp;col=6&amp;number=&amp;sourceID=18","")</f>
        <v/>
      </c>
      <c r="G156" s="4" t="str">
        <f>HYPERLINK("http://141.218.60.56/~jnz1568/getInfo.php?workbook=11_01.xlsx&amp;sheet=A0&amp;row=156&amp;col=7&amp;number==&amp;sourceID=11","=")</f>
        <v>=</v>
      </c>
      <c r="H156" s="4" t="str">
        <f>HYPERLINK("http://141.218.60.56/~jnz1568/getInfo.php?workbook=11_01.xlsx&amp;sheet=A0&amp;row=156&amp;col=8&amp;number=&amp;sourceID=11","")</f>
        <v/>
      </c>
      <c r="I156" s="4" t="str">
        <f>HYPERLINK("http://141.218.60.56/~jnz1568/getInfo.php?workbook=11_01.xlsx&amp;sheet=A0&amp;row=156&amp;col=9&amp;number=711330&amp;sourceID=11","711330")</f>
        <v>711330</v>
      </c>
      <c r="J156" s="4" t="str">
        <f>HYPERLINK("http://141.218.60.56/~jnz1568/getInfo.php?workbook=11_01.xlsx&amp;sheet=A0&amp;row=156&amp;col=10&amp;number=&amp;sourceID=11","")</f>
        <v/>
      </c>
      <c r="K156" s="4" t="str">
        <f>HYPERLINK("http://141.218.60.56/~jnz1568/getInfo.php?workbook=11_01.xlsx&amp;sheet=A0&amp;row=156&amp;col=11&amp;number=0.48901&amp;sourceID=11","0.48901")</f>
        <v>0.48901</v>
      </c>
      <c r="L156" s="4" t="str">
        <f>HYPERLINK("http://141.218.60.56/~jnz1568/getInfo.php?workbook=11_01.xlsx&amp;sheet=A0&amp;row=156&amp;col=12&amp;number=&amp;sourceID=11","")</f>
        <v/>
      </c>
      <c r="M156" s="4" t="str">
        <f>HYPERLINK("http://141.218.60.56/~jnz1568/getInfo.php?workbook=11_01.xlsx&amp;sheet=A0&amp;row=156&amp;col=13&amp;number=0.00030499&amp;sourceID=11","0.00030499")</f>
        <v>0.00030499</v>
      </c>
      <c r="N156" s="4" t="str">
        <f>HYPERLINK("http://141.218.60.56/~jnz1568/getInfo.php?workbook=11_01.xlsx&amp;sheet=A0&amp;row=156&amp;col=14&amp;number=711340&amp;sourceID=12","711340")</f>
        <v>711340</v>
      </c>
      <c r="O156" s="4" t="str">
        <f>HYPERLINK("http://141.218.60.56/~jnz1568/getInfo.php?workbook=11_01.xlsx&amp;sheet=A0&amp;row=156&amp;col=15&amp;number=&amp;sourceID=12","")</f>
        <v/>
      </c>
      <c r="P156" s="4" t="str">
        <f>HYPERLINK("http://141.218.60.56/~jnz1568/getInfo.php?workbook=11_01.xlsx&amp;sheet=A0&amp;row=156&amp;col=16&amp;number=711340&amp;sourceID=12","711340")</f>
        <v>711340</v>
      </c>
      <c r="Q156" s="4" t="str">
        <f>HYPERLINK("http://141.218.60.56/~jnz1568/getInfo.php?workbook=11_01.xlsx&amp;sheet=A0&amp;row=156&amp;col=17&amp;number=&amp;sourceID=12","")</f>
        <v/>
      </c>
      <c r="R156" s="4" t="str">
        <f>HYPERLINK("http://141.218.60.56/~jnz1568/getInfo.php?workbook=11_01.xlsx&amp;sheet=A0&amp;row=156&amp;col=18&amp;number=0.48902&amp;sourceID=12","0.48902")</f>
        <v>0.48902</v>
      </c>
      <c r="S156" s="4" t="str">
        <f>HYPERLINK("http://141.218.60.56/~jnz1568/getInfo.php?workbook=11_01.xlsx&amp;sheet=A0&amp;row=156&amp;col=19&amp;number=&amp;sourceID=12","")</f>
        <v/>
      </c>
      <c r="T156" s="4" t="str">
        <f>HYPERLINK("http://141.218.60.56/~jnz1568/getInfo.php?workbook=11_01.xlsx&amp;sheet=A0&amp;row=156&amp;col=20&amp;number=0.00030499&amp;sourceID=12","0.00030499")</f>
        <v>0.00030499</v>
      </c>
      <c r="U156" s="4" t="str">
        <f>HYPERLINK("http://141.218.60.56/~jnz1568/getInfo.php?workbook=11_01.xlsx&amp;sheet=A0&amp;row=156&amp;col=21&amp;number=711300.4891&amp;sourceID=30","711300.4891")</f>
        <v>711300.4891</v>
      </c>
      <c r="V156" s="4" t="str">
        <f>HYPERLINK("http://141.218.60.56/~jnz1568/getInfo.php?workbook=11_01.xlsx&amp;sheet=A0&amp;row=156&amp;col=22&amp;number=&amp;sourceID=30","")</f>
        <v/>
      </c>
      <c r="W156" s="4" t="str">
        <f>HYPERLINK("http://141.218.60.56/~jnz1568/getInfo.php?workbook=11_01.xlsx&amp;sheet=A0&amp;row=156&amp;col=23&amp;number=711300&amp;sourceID=30","711300")</f>
        <v>711300</v>
      </c>
      <c r="X156" s="4" t="str">
        <f>HYPERLINK("http://141.218.60.56/~jnz1568/getInfo.php?workbook=11_01.xlsx&amp;sheet=A0&amp;row=156&amp;col=24&amp;number=0.4891&amp;sourceID=30","0.4891")</f>
        <v>0.4891</v>
      </c>
      <c r="Y156" s="4" t="str">
        <f>HYPERLINK("http://141.218.60.56/~jnz1568/getInfo.php?workbook=11_01.xlsx&amp;sheet=A0&amp;row=156&amp;col=25&amp;number=&amp;sourceID=30","")</f>
        <v/>
      </c>
      <c r="Z156" s="4" t="str">
        <f>HYPERLINK("http://141.218.60.56/~jnz1568/getInfo.php?workbook=11_01.xlsx&amp;sheet=A0&amp;row=156&amp;col=26&amp;number=&amp;sourceID=13","")</f>
        <v/>
      </c>
      <c r="AA156" s="4" t="str">
        <f>HYPERLINK("http://141.218.60.56/~jnz1568/getInfo.php?workbook=11_01.xlsx&amp;sheet=A0&amp;row=156&amp;col=27&amp;number=&amp;sourceID=13","")</f>
        <v/>
      </c>
      <c r="AB156" s="4" t="str">
        <f>HYPERLINK("http://141.218.60.56/~jnz1568/getInfo.php?workbook=11_01.xlsx&amp;sheet=A0&amp;row=156&amp;col=28&amp;number=&amp;sourceID=13","")</f>
        <v/>
      </c>
      <c r="AC156" s="4" t="str">
        <f>HYPERLINK("http://141.218.60.56/~jnz1568/getInfo.php?workbook=11_01.xlsx&amp;sheet=A0&amp;row=156&amp;col=29&amp;number=&amp;sourceID=13","")</f>
        <v/>
      </c>
      <c r="AD156" s="4" t="str">
        <f>HYPERLINK("http://141.218.60.56/~jnz1568/getInfo.php?workbook=11_01.xlsx&amp;sheet=A0&amp;row=156&amp;col=30&amp;number=&amp;sourceID=13","")</f>
        <v/>
      </c>
      <c r="AE156" s="4" t="str">
        <f>HYPERLINK("http://141.218.60.56/~jnz1568/getInfo.php?workbook=11_01.xlsx&amp;sheet=A0&amp;row=156&amp;col=31&amp;number=&amp;sourceID=13","")</f>
        <v/>
      </c>
    </row>
    <row r="157" spans="1:31">
      <c r="A157" s="3">
        <v>11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HYPERLINK("http://141.218.60.56/~jnz1568/getInfo.php?workbook=11_01.xlsx&amp;sheet=A0&amp;row=157&amp;col=6&amp;number=&amp;sourceID=18","")</f>
        <v/>
      </c>
      <c r="G157" s="4" t="str">
        <f>HYPERLINK("http://141.218.60.56/~jnz1568/getInfo.php?workbook=11_01.xlsx&amp;sheet=A0&amp;row=157&amp;col=7&amp;number==&amp;sourceID=11","=")</f>
        <v>=</v>
      </c>
      <c r="H157" s="4" t="str">
        <f>HYPERLINK("http://141.218.60.56/~jnz1568/getInfo.php?workbook=11_01.xlsx&amp;sheet=A0&amp;row=157&amp;col=8&amp;number=8284000000&amp;sourceID=11","8284000000")</f>
        <v>8284000000</v>
      </c>
      <c r="I157" s="4" t="str">
        <f>HYPERLINK("http://141.218.60.56/~jnz1568/getInfo.php?workbook=11_01.xlsx&amp;sheet=A0&amp;row=157&amp;col=9&amp;number=&amp;sourceID=11","")</f>
        <v/>
      </c>
      <c r="J157" s="4" t="str">
        <f>HYPERLINK("http://141.218.60.56/~jnz1568/getInfo.php?workbook=11_01.xlsx&amp;sheet=A0&amp;row=157&amp;col=10&amp;number=16.011&amp;sourceID=11","16.011")</f>
        <v>16.011</v>
      </c>
      <c r="K157" s="4" t="str">
        <f>HYPERLINK("http://141.218.60.56/~jnz1568/getInfo.php?workbook=11_01.xlsx&amp;sheet=A0&amp;row=157&amp;col=11&amp;number=&amp;sourceID=11","")</f>
        <v/>
      </c>
      <c r="L157" s="4" t="str">
        <f>HYPERLINK("http://141.218.60.56/~jnz1568/getInfo.php?workbook=11_01.xlsx&amp;sheet=A0&amp;row=157&amp;col=12&amp;number=&amp;sourceID=11","")</f>
        <v/>
      </c>
      <c r="M157" s="4" t="str">
        <f>HYPERLINK("http://141.218.60.56/~jnz1568/getInfo.php?workbook=11_01.xlsx&amp;sheet=A0&amp;row=157&amp;col=13&amp;number=&amp;sourceID=11","")</f>
        <v/>
      </c>
      <c r="N157" s="4" t="str">
        <f>HYPERLINK("http://141.218.60.56/~jnz1568/getInfo.php?workbook=11_01.xlsx&amp;sheet=A0&amp;row=157&amp;col=14&amp;number=8284200000&amp;sourceID=12","8284200000")</f>
        <v>8284200000</v>
      </c>
      <c r="O157" s="4" t="str">
        <f>HYPERLINK("http://141.218.60.56/~jnz1568/getInfo.php?workbook=11_01.xlsx&amp;sheet=A0&amp;row=157&amp;col=15&amp;number=8284200000&amp;sourceID=12","8284200000")</f>
        <v>8284200000</v>
      </c>
      <c r="P157" s="4" t="str">
        <f>HYPERLINK("http://141.218.60.56/~jnz1568/getInfo.php?workbook=11_01.xlsx&amp;sheet=A0&amp;row=157&amp;col=16&amp;number=&amp;sourceID=12","")</f>
        <v/>
      </c>
      <c r="Q157" s="4" t="str">
        <f>HYPERLINK("http://141.218.60.56/~jnz1568/getInfo.php?workbook=11_01.xlsx&amp;sheet=A0&amp;row=157&amp;col=17&amp;number=16.011&amp;sourceID=12","16.011")</f>
        <v>16.011</v>
      </c>
      <c r="R157" s="4" t="str">
        <f>HYPERLINK("http://141.218.60.56/~jnz1568/getInfo.php?workbook=11_01.xlsx&amp;sheet=A0&amp;row=157&amp;col=18&amp;number=&amp;sourceID=12","")</f>
        <v/>
      </c>
      <c r="S157" s="4" t="str">
        <f>HYPERLINK("http://141.218.60.56/~jnz1568/getInfo.php?workbook=11_01.xlsx&amp;sheet=A0&amp;row=157&amp;col=19&amp;number=&amp;sourceID=12","")</f>
        <v/>
      </c>
      <c r="T157" s="4" t="str">
        <f>HYPERLINK("http://141.218.60.56/~jnz1568/getInfo.php?workbook=11_01.xlsx&amp;sheet=A0&amp;row=157&amp;col=20&amp;number=&amp;sourceID=12","")</f>
        <v/>
      </c>
      <c r="U157" s="4" t="str">
        <f>HYPERLINK("http://141.218.60.56/~jnz1568/getInfo.php?workbook=11_01.xlsx&amp;sheet=A0&amp;row=157&amp;col=21&amp;number=8284000000&amp;sourceID=30","8284000000")</f>
        <v>8284000000</v>
      </c>
      <c r="V157" s="4" t="str">
        <f>HYPERLINK("http://141.218.60.56/~jnz1568/getInfo.php?workbook=11_01.xlsx&amp;sheet=A0&amp;row=157&amp;col=22&amp;number=8284000000&amp;sourceID=30","8284000000")</f>
        <v>8284000000</v>
      </c>
      <c r="W157" s="4" t="str">
        <f>HYPERLINK("http://141.218.60.56/~jnz1568/getInfo.php?workbook=11_01.xlsx&amp;sheet=A0&amp;row=157&amp;col=23&amp;number=&amp;sourceID=30","")</f>
        <v/>
      </c>
      <c r="X157" s="4" t="str">
        <f>HYPERLINK("http://141.218.60.56/~jnz1568/getInfo.php?workbook=11_01.xlsx&amp;sheet=A0&amp;row=157&amp;col=24&amp;number=&amp;sourceID=30","")</f>
        <v/>
      </c>
      <c r="Y157" s="4" t="str">
        <f>HYPERLINK("http://141.218.60.56/~jnz1568/getInfo.php?workbook=11_01.xlsx&amp;sheet=A0&amp;row=157&amp;col=25&amp;number=&amp;sourceID=30","")</f>
        <v/>
      </c>
      <c r="Z157" s="4" t="str">
        <f>HYPERLINK("http://141.218.60.56/~jnz1568/getInfo.php?workbook=11_01.xlsx&amp;sheet=A0&amp;row=157&amp;col=26&amp;number=&amp;sourceID=13","")</f>
        <v/>
      </c>
      <c r="AA157" s="4" t="str">
        <f>HYPERLINK("http://141.218.60.56/~jnz1568/getInfo.php?workbook=11_01.xlsx&amp;sheet=A0&amp;row=157&amp;col=27&amp;number=&amp;sourceID=13","")</f>
        <v/>
      </c>
      <c r="AB157" s="4" t="str">
        <f>HYPERLINK("http://141.218.60.56/~jnz1568/getInfo.php?workbook=11_01.xlsx&amp;sheet=A0&amp;row=157&amp;col=28&amp;number=&amp;sourceID=13","")</f>
        <v/>
      </c>
      <c r="AC157" s="4" t="str">
        <f>HYPERLINK("http://141.218.60.56/~jnz1568/getInfo.php?workbook=11_01.xlsx&amp;sheet=A0&amp;row=157&amp;col=29&amp;number=&amp;sourceID=13","")</f>
        <v/>
      </c>
      <c r="AD157" s="4" t="str">
        <f>HYPERLINK("http://141.218.60.56/~jnz1568/getInfo.php?workbook=11_01.xlsx&amp;sheet=A0&amp;row=157&amp;col=30&amp;number=&amp;sourceID=13","")</f>
        <v/>
      </c>
      <c r="AE157" s="4" t="str">
        <f>HYPERLINK("http://141.218.60.56/~jnz1568/getInfo.php?workbook=11_01.xlsx&amp;sheet=A0&amp;row=157&amp;col=31&amp;number=&amp;sourceID=13","")</f>
        <v/>
      </c>
    </row>
    <row r="158" spans="1:31">
      <c r="A158" s="3">
        <v>11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HYPERLINK("http://141.218.60.56/~jnz1568/getInfo.php?workbook=11_01.xlsx&amp;sheet=A0&amp;row=158&amp;col=6&amp;number=&amp;sourceID=18","")</f>
        <v/>
      </c>
      <c r="G158" s="4" t="str">
        <f>HYPERLINK("http://141.218.60.56/~jnz1568/getInfo.php?workbook=11_01.xlsx&amp;sheet=A0&amp;row=158&amp;col=7&amp;number==&amp;sourceID=11","=")</f>
        <v>=</v>
      </c>
      <c r="H158" s="4" t="str">
        <f>HYPERLINK("http://141.218.60.56/~jnz1568/getInfo.php?workbook=11_01.xlsx&amp;sheet=A0&amp;row=158&amp;col=8&amp;number=&amp;sourceID=11","")</f>
        <v/>
      </c>
      <c r="I158" s="4" t="str">
        <f>HYPERLINK("http://141.218.60.56/~jnz1568/getInfo.php?workbook=11_01.xlsx&amp;sheet=A0&amp;row=158&amp;col=9&amp;number=304290&amp;sourceID=11","304290")</f>
        <v>304290</v>
      </c>
      <c r="J158" s="4" t="str">
        <f>HYPERLINK("http://141.218.60.56/~jnz1568/getInfo.php?workbook=11_01.xlsx&amp;sheet=A0&amp;row=158&amp;col=10&amp;number=&amp;sourceID=11","")</f>
        <v/>
      </c>
      <c r="K158" s="4" t="str">
        <f>HYPERLINK("http://141.218.60.56/~jnz1568/getInfo.php?workbook=11_01.xlsx&amp;sheet=A0&amp;row=158&amp;col=11&amp;number=1.0548&amp;sourceID=11","1.0548")</f>
        <v>1.0548</v>
      </c>
      <c r="L158" s="4" t="str">
        <f>HYPERLINK("http://141.218.60.56/~jnz1568/getInfo.php?workbook=11_01.xlsx&amp;sheet=A0&amp;row=158&amp;col=12&amp;number=&amp;sourceID=11","")</f>
        <v/>
      </c>
      <c r="M158" s="4" t="str">
        <f>HYPERLINK("http://141.218.60.56/~jnz1568/getInfo.php?workbook=11_01.xlsx&amp;sheet=A0&amp;row=158&amp;col=13&amp;number=0.00020281&amp;sourceID=11","0.00020281")</f>
        <v>0.00020281</v>
      </c>
      <c r="N158" s="4" t="str">
        <f>HYPERLINK("http://141.218.60.56/~jnz1568/getInfo.php?workbook=11_01.xlsx&amp;sheet=A0&amp;row=158&amp;col=14&amp;number=304290&amp;sourceID=12","304290")</f>
        <v>304290</v>
      </c>
      <c r="O158" s="4" t="str">
        <f>HYPERLINK("http://141.218.60.56/~jnz1568/getInfo.php?workbook=11_01.xlsx&amp;sheet=A0&amp;row=158&amp;col=15&amp;number=&amp;sourceID=12","")</f>
        <v/>
      </c>
      <c r="P158" s="4" t="str">
        <f>HYPERLINK("http://141.218.60.56/~jnz1568/getInfo.php?workbook=11_01.xlsx&amp;sheet=A0&amp;row=158&amp;col=16&amp;number=304290&amp;sourceID=12","304290")</f>
        <v>304290</v>
      </c>
      <c r="Q158" s="4" t="str">
        <f>HYPERLINK("http://141.218.60.56/~jnz1568/getInfo.php?workbook=11_01.xlsx&amp;sheet=A0&amp;row=158&amp;col=17&amp;number=&amp;sourceID=12","")</f>
        <v/>
      </c>
      <c r="R158" s="4" t="str">
        <f>HYPERLINK("http://141.218.60.56/~jnz1568/getInfo.php?workbook=11_01.xlsx&amp;sheet=A0&amp;row=158&amp;col=18&amp;number=1.0548&amp;sourceID=12","1.0548")</f>
        <v>1.0548</v>
      </c>
      <c r="S158" s="4" t="str">
        <f>HYPERLINK("http://141.218.60.56/~jnz1568/getInfo.php?workbook=11_01.xlsx&amp;sheet=A0&amp;row=158&amp;col=19&amp;number=&amp;sourceID=12","")</f>
        <v/>
      </c>
      <c r="T158" s="4" t="str">
        <f>HYPERLINK("http://141.218.60.56/~jnz1568/getInfo.php?workbook=11_01.xlsx&amp;sheet=A0&amp;row=158&amp;col=20&amp;number=0.00020281&amp;sourceID=12","0.00020281")</f>
        <v>0.00020281</v>
      </c>
      <c r="U158" s="4" t="str">
        <f>HYPERLINK("http://141.218.60.56/~jnz1568/getInfo.php?workbook=11_01.xlsx&amp;sheet=A0&amp;row=158&amp;col=21&amp;number=304301.055&amp;sourceID=30","304301.055")</f>
        <v>304301.055</v>
      </c>
      <c r="V158" s="4" t="str">
        <f>HYPERLINK("http://141.218.60.56/~jnz1568/getInfo.php?workbook=11_01.xlsx&amp;sheet=A0&amp;row=158&amp;col=22&amp;number=&amp;sourceID=30","")</f>
        <v/>
      </c>
      <c r="W158" s="4" t="str">
        <f>HYPERLINK("http://141.218.60.56/~jnz1568/getInfo.php?workbook=11_01.xlsx&amp;sheet=A0&amp;row=158&amp;col=23&amp;number=304300&amp;sourceID=30","304300")</f>
        <v>304300</v>
      </c>
      <c r="X158" s="4" t="str">
        <f>HYPERLINK("http://141.218.60.56/~jnz1568/getInfo.php?workbook=11_01.xlsx&amp;sheet=A0&amp;row=158&amp;col=24&amp;number=1.055&amp;sourceID=30","1.055")</f>
        <v>1.055</v>
      </c>
      <c r="Y158" s="4" t="str">
        <f>HYPERLINK("http://141.218.60.56/~jnz1568/getInfo.php?workbook=11_01.xlsx&amp;sheet=A0&amp;row=158&amp;col=25&amp;number=&amp;sourceID=30","")</f>
        <v/>
      </c>
      <c r="Z158" s="4" t="str">
        <f>HYPERLINK("http://141.218.60.56/~jnz1568/getInfo.php?workbook=11_01.xlsx&amp;sheet=A0&amp;row=158&amp;col=26&amp;number=&amp;sourceID=13","")</f>
        <v/>
      </c>
      <c r="AA158" s="4" t="str">
        <f>HYPERLINK("http://141.218.60.56/~jnz1568/getInfo.php?workbook=11_01.xlsx&amp;sheet=A0&amp;row=158&amp;col=27&amp;number=&amp;sourceID=13","")</f>
        <v/>
      </c>
      <c r="AB158" s="4" t="str">
        <f>HYPERLINK("http://141.218.60.56/~jnz1568/getInfo.php?workbook=11_01.xlsx&amp;sheet=A0&amp;row=158&amp;col=28&amp;number=&amp;sourceID=13","")</f>
        <v/>
      </c>
      <c r="AC158" s="4" t="str">
        <f>HYPERLINK("http://141.218.60.56/~jnz1568/getInfo.php?workbook=11_01.xlsx&amp;sheet=A0&amp;row=158&amp;col=29&amp;number=&amp;sourceID=13","")</f>
        <v/>
      </c>
      <c r="AD158" s="4" t="str">
        <f>HYPERLINK("http://141.218.60.56/~jnz1568/getInfo.php?workbook=11_01.xlsx&amp;sheet=A0&amp;row=158&amp;col=30&amp;number=&amp;sourceID=13","")</f>
        <v/>
      </c>
      <c r="AE158" s="4" t="str">
        <f>HYPERLINK("http://141.218.60.56/~jnz1568/getInfo.php?workbook=11_01.xlsx&amp;sheet=A0&amp;row=158&amp;col=31&amp;number=&amp;sourceID=13","")</f>
        <v/>
      </c>
    </row>
    <row r="159" spans="1:31">
      <c r="A159" s="3">
        <v>11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HYPERLINK("http://141.218.60.56/~jnz1568/getInfo.php?workbook=11_01.xlsx&amp;sheet=A0&amp;row=159&amp;col=6&amp;number=&amp;sourceID=18","")</f>
        <v/>
      </c>
      <c r="G159" s="4" t="str">
        <f>HYPERLINK("http://141.218.60.56/~jnz1568/getInfo.php?workbook=11_01.xlsx&amp;sheet=A0&amp;row=159&amp;col=7&amp;number==&amp;sourceID=11","=")</f>
        <v>=</v>
      </c>
      <c r="H159" s="4" t="str">
        <f>HYPERLINK("http://141.218.60.56/~jnz1568/getInfo.php?workbook=11_01.xlsx&amp;sheet=A0&amp;row=159&amp;col=8&amp;number=18105000000&amp;sourceID=11","18105000000")</f>
        <v>18105000000</v>
      </c>
      <c r="I159" s="4" t="str">
        <f>HYPERLINK("http://141.218.60.56/~jnz1568/getInfo.php?workbook=11_01.xlsx&amp;sheet=A0&amp;row=159&amp;col=9&amp;number=&amp;sourceID=11","")</f>
        <v/>
      </c>
      <c r="J159" s="4" t="str">
        <f>HYPERLINK("http://141.218.60.56/~jnz1568/getInfo.php?workbook=11_01.xlsx&amp;sheet=A0&amp;row=159&amp;col=10&amp;number=&amp;sourceID=11","")</f>
        <v/>
      </c>
      <c r="K159" s="4" t="str">
        <f>HYPERLINK("http://141.218.60.56/~jnz1568/getInfo.php?workbook=11_01.xlsx&amp;sheet=A0&amp;row=159&amp;col=11&amp;number=&amp;sourceID=11","")</f>
        <v/>
      </c>
      <c r="L159" s="4" t="str">
        <f>HYPERLINK("http://141.218.60.56/~jnz1568/getInfo.php?workbook=11_01.xlsx&amp;sheet=A0&amp;row=159&amp;col=12&amp;number=0.71743&amp;sourceID=11","0.71743")</f>
        <v>0.71743</v>
      </c>
      <c r="M159" s="4" t="str">
        <f>HYPERLINK("http://141.218.60.56/~jnz1568/getInfo.php?workbook=11_01.xlsx&amp;sheet=A0&amp;row=159&amp;col=13&amp;number=&amp;sourceID=11","")</f>
        <v/>
      </c>
      <c r="N159" s="4" t="str">
        <f>HYPERLINK("http://141.218.60.56/~jnz1568/getInfo.php?workbook=11_01.xlsx&amp;sheet=A0&amp;row=159&amp;col=14&amp;number=18106000000&amp;sourceID=12","18106000000")</f>
        <v>18106000000</v>
      </c>
      <c r="O159" s="4" t="str">
        <f>HYPERLINK("http://141.218.60.56/~jnz1568/getInfo.php?workbook=11_01.xlsx&amp;sheet=A0&amp;row=159&amp;col=15&amp;number=18106000000&amp;sourceID=12","18106000000")</f>
        <v>18106000000</v>
      </c>
      <c r="P159" s="4" t="str">
        <f>HYPERLINK("http://141.218.60.56/~jnz1568/getInfo.php?workbook=11_01.xlsx&amp;sheet=A0&amp;row=159&amp;col=16&amp;number=&amp;sourceID=12","")</f>
        <v/>
      </c>
      <c r="Q159" s="4" t="str">
        <f>HYPERLINK("http://141.218.60.56/~jnz1568/getInfo.php?workbook=11_01.xlsx&amp;sheet=A0&amp;row=159&amp;col=17&amp;number=&amp;sourceID=12","")</f>
        <v/>
      </c>
      <c r="R159" s="4" t="str">
        <f>HYPERLINK("http://141.218.60.56/~jnz1568/getInfo.php?workbook=11_01.xlsx&amp;sheet=A0&amp;row=159&amp;col=18&amp;number=&amp;sourceID=12","")</f>
        <v/>
      </c>
      <c r="S159" s="4" t="str">
        <f>HYPERLINK("http://141.218.60.56/~jnz1568/getInfo.php?workbook=11_01.xlsx&amp;sheet=A0&amp;row=159&amp;col=19&amp;number=0.71745&amp;sourceID=12","0.71745")</f>
        <v>0.71745</v>
      </c>
      <c r="T159" s="4" t="str">
        <f>HYPERLINK("http://141.218.60.56/~jnz1568/getInfo.php?workbook=11_01.xlsx&amp;sheet=A0&amp;row=159&amp;col=20&amp;number=&amp;sourceID=12","")</f>
        <v/>
      </c>
      <c r="U159" s="4" t="str">
        <f>HYPERLINK("http://141.218.60.56/~jnz1568/getInfo.php?workbook=11_01.xlsx&amp;sheet=A0&amp;row=159&amp;col=21&amp;number=18110000000.7&amp;sourceID=30","18110000000.7")</f>
        <v>18110000000.7</v>
      </c>
      <c r="V159" s="4" t="str">
        <f>HYPERLINK("http://141.218.60.56/~jnz1568/getInfo.php?workbook=11_01.xlsx&amp;sheet=A0&amp;row=159&amp;col=22&amp;number=18110000000&amp;sourceID=30","18110000000")</f>
        <v>18110000000</v>
      </c>
      <c r="W159" s="4" t="str">
        <f>HYPERLINK("http://141.218.60.56/~jnz1568/getInfo.php?workbook=11_01.xlsx&amp;sheet=A0&amp;row=159&amp;col=23&amp;number=&amp;sourceID=30","")</f>
        <v/>
      </c>
      <c r="X159" s="4" t="str">
        <f>HYPERLINK("http://141.218.60.56/~jnz1568/getInfo.php?workbook=11_01.xlsx&amp;sheet=A0&amp;row=159&amp;col=24&amp;number=&amp;sourceID=30","")</f>
        <v/>
      </c>
      <c r="Y159" s="4" t="str">
        <f>HYPERLINK("http://141.218.60.56/~jnz1568/getInfo.php?workbook=11_01.xlsx&amp;sheet=A0&amp;row=159&amp;col=25&amp;number=0.7175&amp;sourceID=30","0.7175")</f>
        <v>0.7175</v>
      </c>
      <c r="Z159" s="4" t="str">
        <f>HYPERLINK("http://141.218.60.56/~jnz1568/getInfo.php?workbook=11_01.xlsx&amp;sheet=A0&amp;row=159&amp;col=26&amp;number=&amp;sourceID=13","")</f>
        <v/>
      </c>
      <c r="AA159" s="4" t="str">
        <f>HYPERLINK("http://141.218.60.56/~jnz1568/getInfo.php?workbook=11_01.xlsx&amp;sheet=A0&amp;row=159&amp;col=27&amp;number=&amp;sourceID=13","")</f>
        <v/>
      </c>
      <c r="AB159" s="4" t="str">
        <f>HYPERLINK("http://141.218.60.56/~jnz1568/getInfo.php?workbook=11_01.xlsx&amp;sheet=A0&amp;row=159&amp;col=28&amp;number=&amp;sourceID=13","")</f>
        <v/>
      </c>
      <c r="AC159" s="4" t="str">
        <f>HYPERLINK("http://141.218.60.56/~jnz1568/getInfo.php?workbook=11_01.xlsx&amp;sheet=A0&amp;row=159&amp;col=29&amp;number=&amp;sourceID=13","")</f>
        <v/>
      </c>
      <c r="AD159" s="4" t="str">
        <f>HYPERLINK("http://141.218.60.56/~jnz1568/getInfo.php?workbook=11_01.xlsx&amp;sheet=A0&amp;row=159&amp;col=30&amp;number=&amp;sourceID=13","")</f>
        <v/>
      </c>
      <c r="AE159" s="4" t="str">
        <f>HYPERLINK("http://141.218.60.56/~jnz1568/getInfo.php?workbook=11_01.xlsx&amp;sheet=A0&amp;row=159&amp;col=31&amp;number=&amp;sourceID=13","")</f>
        <v/>
      </c>
    </row>
    <row r="160" spans="1:31">
      <c r="A160" s="3">
        <v>11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HYPERLINK("http://141.218.60.56/~jnz1568/getInfo.php?workbook=11_01.xlsx&amp;sheet=A0&amp;row=160&amp;col=6&amp;number=&amp;sourceID=18","")</f>
        <v/>
      </c>
      <c r="G160" s="4" t="str">
        <f>HYPERLINK("http://141.218.60.56/~jnz1568/getInfo.php?workbook=11_01.xlsx&amp;sheet=A0&amp;row=160&amp;col=7&amp;number==&amp;sourceID=11","=")</f>
        <v>=</v>
      </c>
      <c r="H160" s="4" t="str">
        <f>HYPERLINK("http://141.218.60.56/~jnz1568/getInfo.php?workbook=11_01.xlsx&amp;sheet=A0&amp;row=160&amp;col=8&amp;number=&amp;sourceID=11","")</f>
        <v/>
      </c>
      <c r="I160" s="4" t="str">
        <f>HYPERLINK("http://141.218.60.56/~jnz1568/getInfo.php?workbook=11_01.xlsx&amp;sheet=A0&amp;row=160&amp;col=9&amp;number=960850&amp;sourceID=11","960850")</f>
        <v>960850</v>
      </c>
      <c r="J160" s="4" t="str">
        <f>HYPERLINK("http://141.218.60.56/~jnz1568/getInfo.php?workbook=11_01.xlsx&amp;sheet=A0&amp;row=160&amp;col=10&amp;number=&amp;sourceID=11","")</f>
        <v/>
      </c>
      <c r="K160" s="4" t="str">
        <f>HYPERLINK("http://141.218.60.56/~jnz1568/getInfo.php?workbook=11_01.xlsx&amp;sheet=A0&amp;row=160&amp;col=11&amp;number=0.00024387&amp;sourceID=11","0.00024387")</f>
        <v>0.00024387</v>
      </c>
      <c r="L160" s="4" t="str">
        <f>HYPERLINK("http://141.218.60.56/~jnz1568/getInfo.php?workbook=11_01.xlsx&amp;sheet=A0&amp;row=160&amp;col=12&amp;number=&amp;sourceID=11","")</f>
        <v/>
      </c>
      <c r="M160" s="4" t="str">
        <f>HYPERLINK("http://141.218.60.56/~jnz1568/getInfo.php?workbook=11_01.xlsx&amp;sheet=A0&amp;row=160&amp;col=13&amp;number=&amp;sourceID=11","")</f>
        <v/>
      </c>
      <c r="N160" s="4" t="str">
        <f>HYPERLINK("http://141.218.60.56/~jnz1568/getInfo.php?workbook=11_01.xlsx&amp;sheet=A0&amp;row=160&amp;col=14&amp;number=960870&amp;sourceID=12","960870")</f>
        <v>960870</v>
      </c>
      <c r="O160" s="4" t="str">
        <f>HYPERLINK("http://141.218.60.56/~jnz1568/getInfo.php?workbook=11_01.xlsx&amp;sheet=A0&amp;row=160&amp;col=15&amp;number=&amp;sourceID=12","")</f>
        <v/>
      </c>
      <c r="P160" s="4" t="str">
        <f>HYPERLINK("http://141.218.60.56/~jnz1568/getInfo.php?workbook=11_01.xlsx&amp;sheet=A0&amp;row=160&amp;col=16&amp;number=960870&amp;sourceID=12","960870")</f>
        <v>960870</v>
      </c>
      <c r="Q160" s="4" t="str">
        <f>HYPERLINK("http://141.218.60.56/~jnz1568/getInfo.php?workbook=11_01.xlsx&amp;sheet=A0&amp;row=160&amp;col=17&amp;number=&amp;sourceID=12","")</f>
        <v/>
      </c>
      <c r="R160" s="4" t="str">
        <f>HYPERLINK("http://141.218.60.56/~jnz1568/getInfo.php?workbook=11_01.xlsx&amp;sheet=A0&amp;row=160&amp;col=18&amp;number=0.00024388&amp;sourceID=12","0.00024388")</f>
        <v>0.00024388</v>
      </c>
      <c r="S160" s="4" t="str">
        <f>HYPERLINK("http://141.218.60.56/~jnz1568/getInfo.php?workbook=11_01.xlsx&amp;sheet=A0&amp;row=160&amp;col=19&amp;number=&amp;sourceID=12","")</f>
        <v/>
      </c>
      <c r="T160" s="4" t="str">
        <f>HYPERLINK("http://141.218.60.56/~jnz1568/getInfo.php?workbook=11_01.xlsx&amp;sheet=A0&amp;row=160&amp;col=20&amp;number=&amp;sourceID=12","")</f>
        <v/>
      </c>
      <c r="U160" s="4" t="str">
        <f>HYPERLINK("http://141.218.60.56/~jnz1568/getInfo.php?workbook=11_01.xlsx&amp;sheet=A0&amp;row=160&amp;col=21&amp;number=960900.000243&amp;sourceID=30","960900.000243")</f>
        <v>960900.000243</v>
      </c>
      <c r="V160" s="4" t="str">
        <f>HYPERLINK("http://141.218.60.56/~jnz1568/getInfo.php?workbook=11_01.xlsx&amp;sheet=A0&amp;row=160&amp;col=22&amp;number=&amp;sourceID=30","")</f>
        <v/>
      </c>
      <c r="W160" s="4" t="str">
        <f>HYPERLINK("http://141.218.60.56/~jnz1568/getInfo.php?workbook=11_01.xlsx&amp;sheet=A0&amp;row=160&amp;col=23&amp;number=960900&amp;sourceID=30","960900")</f>
        <v>960900</v>
      </c>
      <c r="X160" s="4" t="str">
        <f>HYPERLINK("http://141.218.60.56/~jnz1568/getInfo.php?workbook=11_01.xlsx&amp;sheet=A0&amp;row=160&amp;col=24&amp;number=0.0002427&amp;sourceID=30","0.0002427")</f>
        <v>0.0002427</v>
      </c>
      <c r="Y160" s="4" t="str">
        <f>HYPERLINK("http://141.218.60.56/~jnz1568/getInfo.php?workbook=11_01.xlsx&amp;sheet=A0&amp;row=160&amp;col=25&amp;number=&amp;sourceID=30","")</f>
        <v/>
      </c>
      <c r="Z160" s="4" t="str">
        <f>HYPERLINK("http://141.218.60.56/~jnz1568/getInfo.php?workbook=11_01.xlsx&amp;sheet=A0&amp;row=160&amp;col=26&amp;number=&amp;sourceID=13","")</f>
        <v/>
      </c>
      <c r="AA160" s="4" t="str">
        <f>HYPERLINK("http://141.218.60.56/~jnz1568/getInfo.php?workbook=11_01.xlsx&amp;sheet=A0&amp;row=160&amp;col=27&amp;number=&amp;sourceID=13","")</f>
        <v/>
      </c>
      <c r="AB160" s="4" t="str">
        <f>HYPERLINK("http://141.218.60.56/~jnz1568/getInfo.php?workbook=11_01.xlsx&amp;sheet=A0&amp;row=160&amp;col=28&amp;number=&amp;sourceID=13","")</f>
        <v/>
      </c>
      <c r="AC160" s="4" t="str">
        <f>HYPERLINK("http://141.218.60.56/~jnz1568/getInfo.php?workbook=11_01.xlsx&amp;sheet=A0&amp;row=160&amp;col=29&amp;number=&amp;sourceID=13","")</f>
        <v/>
      </c>
      <c r="AD160" s="4" t="str">
        <f>HYPERLINK("http://141.218.60.56/~jnz1568/getInfo.php?workbook=11_01.xlsx&amp;sheet=A0&amp;row=160&amp;col=30&amp;number=&amp;sourceID=13","")</f>
        <v/>
      </c>
      <c r="AE160" s="4" t="str">
        <f>HYPERLINK("http://141.218.60.56/~jnz1568/getInfo.php?workbook=11_01.xlsx&amp;sheet=A0&amp;row=160&amp;col=31&amp;number=&amp;sourceID=13","")</f>
        <v/>
      </c>
    </row>
    <row r="161" spans="1:31">
      <c r="A161" s="3">
        <v>11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HYPERLINK("http://141.218.60.56/~jnz1568/getInfo.php?workbook=11_01.xlsx&amp;sheet=A0&amp;row=161&amp;col=6&amp;number=&amp;sourceID=18","")</f>
        <v/>
      </c>
      <c r="G161" s="4" t="str">
        <f>HYPERLINK("http://141.218.60.56/~jnz1568/getInfo.php?workbook=11_01.xlsx&amp;sheet=A0&amp;row=161&amp;col=7&amp;number==&amp;sourceID=11","=")</f>
        <v>=</v>
      </c>
      <c r="H161" s="4" t="str">
        <f>HYPERLINK("http://141.218.60.56/~jnz1568/getInfo.php?workbook=11_01.xlsx&amp;sheet=A0&amp;row=161&amp;col=8&amp;number=&amp;sourceID=11","")</f>
        <v/>
      </c>
      <c r="I161" s="4" t="str">
        <f>HYPERLINK("http://141.218.60.56/~jnz1568/getInfo.php?workbook=11_01.xlsx&amp;sheet=A0&amp;row=161&amp;col=9&amp;number=329900&amp;sourceID=11","329900")</f>
        <v>329900</v>
      </c>
      <c r="J161" s="4" t="str">
        <f>HYPERLINK("http://141.218.60.56/~jnz1568/getInfo.php?workbook=11_01.xlsx&amp;sheet=A0&amp;row=161&amp;col=10&amp;number=&amp;sourceID=11","")</f>
        <v/>
      </c>
      <c r="K161" s="4" t="str">
        <f>HYPERLINK("http://141.218.60.56/~jnz1568/getInfo.php?workbook=11_01.xlsx&amp;sheet=A0&amp;row=161&amp;col=11&amp;number=0.022687&amp;sourceID=11","0.022687")</f>
        <v>0.022687</v>
      </c>
      <c r="L161" s="4" t="str">
        <f>HYPERLINK("http://141.218.60.56/~jnz1568/getInfo.php?workbook=11_01.xlsx&amp;sheet=A0&amp;row=161&amp;col=12&amp;number=&amp;sourceID=11","")</f>
        <v/>
      </c>
      <c r="M161" s="4" t="str">
        <f>HYPERLINK("http://141.218.60.56/~jnz1568/getInfo.php?workbook=11_01.xlsx&amp;sheet=A0&amp;row=161&amp;col=13&amp;number=1.4166e-05&amp;sourceID=11","1.4166e-05")</f>
        <v>1.4166e-05</v>
      </c>
      <c r="N161" s="4" t="str">
        <f>HYPERLINK("http://141.218.60.56/~jnz1568/getInfo.php?workbook=11_01.xlsx&amp;sheet=A0&amp;row=161&amp;col=14&amp;number=329910&amp;sourceID=12","329910")</f>
        <v>329910</v>
      </c>
      <c r="O161" s="4" t="str">
        <f>HYPERLINK("http://141.218.60.56/~jnz1568/getInfo.php?workbook=11_01.xlsx&amp;sheet=A0&amp;row=161&amp;col=15&amp;number=&amp;sourceID=12","")</f>
        <v/>
      </c>
      <c r="P161" s="4" t="str">
        <f>HYPERLINK("http://141.218.60.56/~jnz1568/getInfo.php?workbook=11_01.xlsx&amp;sheet=A0&amp;row=161&amp;col=16&amp;number=329910&amp;sourceID=12","329910")</f>
        <v>329910</v>
      </c>
      <c r="Q161" s="4" t="str">
        <f>HYPERLINK("http://141.218.60.56/~jnz1568/getInfo.php?workbook=11_01.xlsx&amp;sheet=A0&amp;row=161&amp;col=17&amp;number=&amp;sourceID=12","")</f>
        <v/>
      </c>
      <c r="R161" s="4" t="str">
        <f>HYPERLINK("http://141.218.60.56/~jnz1568/getInfo.php?workbook=11_01.xlsx&amp;sheet=A0&amp;row=161&amp;col=18&amp;number=0.022688&amp;sourceID=12","0.022688")</f>
        <v>0.022688</v>
      </c>
      <c r="S161" s="4" t="str">
        <f>HYPERLINK("http://141.218.60.56/~jnz1568/getInfo.php?workbook=11_01.xlsx&amp;sheet=A0&amp;row=161&amp;col=19&amp;number=&amp;sourceID=12","")</f>
        <v/>
      </c>
      <c r="T161" s="4" t="str">
        <f>HYPERLINK("http://141.218.60.56/~jnz1568/getInfo.php?workbook=11_01.xlsx&amp;sheet=A0&amp;row=161&amp;col=20&amp;number=1.4166e-05&amp;sourceID=12","1.4166e-05")</f>
        <v>1.4166e-05</v>
      </c>
      <c r="U161" s="4" t="str">
        <f>HYPERLINK("http://141.218.60.56/~jnz1568/getInfo.php?workbook=11_01.xlsx&amp;sheet=A0&amp;row=161&amp;col=21&amp;number=329900.02271&amp;sourceID=30","329900.02271")</f>
        <v>329900.02271</v>
      </c>
      <c r="V161" s="4" t="str">
        <f>HYPERLINK("http://141.218.60.56/~jnz1568/getInfo.php?workbook=11_01.xlsx&amp;sheet=A0&amp;row=161&amp;col=22&amp;number=&amp;sourceID=30","")</f>
        <v/>
      </c>
      <c r="W161" s="4" t="str">
        <f>HYPERLINK("http://141.218.60.56/~jnz1568/getInfo.php?workbook=11_01.xlsx&amp;sheet=A0&amp;row=161&amp;col=23&amp;number=329900&amp;sourceID=30","329900")</f>
        <v>329900</v>
      </c>
      <c r="X161" s="4" t="str">
        <f>HYPERLINK("http://141.218.60.56/~jnz1568/getInfo.php?workbook=11_01.xlsx&amp;sheet=A0&amp;row=161&amp;col=24&amp;number=0.02271&amp;sourceID=30","0.02271")</f>
        <v>0.02271</v>
      </c>
      <c r="Y161" s="4" t="str">
        <f>HYPERLINK("http://141.218.60.56/~jnz1568/getInfo.php?workbook=11_01.xlsx&amp;sheet=A0&amp;row=161&amp;col=25&amp;number=&amp;sourceID=30","")</f>
        <v/>
      </c>
      <c r="Z161" s="4" t="str">
        <f>HYPERLINK("http://141.218.60.56/~jnz1568/getInfo.php?workbook=11_01.xlsx&amp;sheet=A0&amp;row=161&amp;col=26&amp;number=&amp;sourceID=13","")</f>
        <v/>
      </c>
      <c r="AA161" s="4" t="str">
        <f>HYPERLINK("http://141.218.60.56/~jnz1568/getInfo.php?workbook=11_01.xlsx&amp;sheet=A0&amp;row=161&amp;col=27&amp;number=&amp;sourceID=13","")</f>
        <v/>
      </c>
      <c r="AB161" s="4" t="str">
        <f>HYPERLINK("http://141.218.60.56/~jnz1568/getInfo.php?workbook=11_01.xlsx&amp;sheet=A0&amp;row=161&amp;col=28&amp;number=&amp;sourceID=13","")</f>
        <v/>
      </c>
      <c r="AC161" s="4" t="str">
        <f>HYPERLINK("http://141.218.60.56/~jnz1568/getInfo.php?workbook=11_01.xlsx&amp;sheet=A0&amp;row=161&amp;col=29&amp;number=&amp;sourceID=13","")</f>
        <v/>
      </c>
      <c r="AD161" s="4" t="str">
        <f>HYPERLINK("http://141.218.60.56/~jnz1568/getInfo.php?workbook=11_01.xlsx&amp;sheet=A0&amp;row=161&amp;col=30&amp;number=&amp;sourceID=13","")</f>
        <v/>
      </c>
      <c r="AE161" s="4" t="str">
        <f>HYPERLINK("http://141.218.60.56/~jnz1568/getInfo.php?workbook=11_01.xlsx&amp;sheet=A0&amp;row=161&amp;col=31&amp;number=&amp;sourceID=13","")</f>
        <v/>
      </c>
    </row>
    <row r="162" spans="1:31">
      <c r="A162" s="3">
        <v>11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HYPERLINK("http://141.218.60.56/~jnz1568/getInfo.php?workbook=11_01.xlsx&amp;sheet=A0&amp;row=162&amp;col=6&amp;number=&amp;sourceID=18","")</f>
        <v/>
      </c>
      <c r="G162" s="4" t="str">
        <f>HYPERLINK("http://141.218.60.56/~jnz1568/getInfo.php?workbook=11_01.xlsx&amp;sheet=A0&amp;row=162&amp;col=7&amp;number==&amp;sourceID=11","=")</f>
        <v>=</v>
      </c>
      <c r="H162" s="4" t="str">
        <f>HYPERLINK("http://141.218.60.56/~jnz1568/getInfo.php?workbook=11_01.xlsx&amp;sheet=A0&amp;row=162&amp;col=8&amp;number=3631400000&amp;sourceID=11","3631400000")</f>
        <v>3631400000</v>
      </c>
      <c r="I162" s="4" t="str">
        <f>HYPERLINK("http://141.218.60.56/~jnz1568/getInfo.php?workbook=11_01.xlsx&amp;sheet=A0&amp;row=162&amp;col=9&amp;number=&amp;sourceID=11","")</f>
        <v/>
      </c>
      <c r="J162" s="4" t="str">
        <f>HYPERLINK("http://141.218.60.56/~jnz1568/getInfo.php?workbook=11_01.xlsx&amp;sheet=A0&amp;row=162&amp;col=10&amp;number=28.084&amp;sourceID=11","28.084")</f>
        <v>28.084</v>
      </c>
      <c r="K162" s="4" t="str">
        <f>HYPERLINK("http://141.218.60.56/~jnz1568/getInfo.php?workbook=11_01.xlsx&amp;sheet=A0&amp;row=162&amp;col=11&amp;number=&amp;sourceID=11","")</f>
        <v/>
      </c>
      <c r="L162" s="4" t="str">
        <f>HYPERLINK("http://141.218.60.56/~jnz1568/getInfo.php?workbook=11_01.xlsx&amp;sheet=A0&amp;row=162&amp;col=12&amp;number=&amp;sourceID=11","")</f>
        <v/>
      </c>
      <c r="M162" s="4" t="str">
        <f>HYPERLINK("http://141.218.60.56/~jnz1568/getInfo.php?workbook=11_01.xlsx&amp;sheet=A0&amp;row=162&amp;col=13&amp;number=&amp;sourceID=11","")</f>
        <v/>
      </c>
      <c r="N162" s="4" t="str">
        <f>HYPERLINK("http://141.218.60.56/~jnz1568/getInfo.php?workbook=11_01.xlsx&amp;sheet=A0&amp;row=162&amp;col=14&amp;number=3631500000&amp;sourceID=12","3631500000")</f>
        <v>3631500000</v>
      </c>
      <c r="O162" s="4" t="str">
        <f>HYPERLINK("http://141.218.60.56/~jnz1568/getInfo.php?workbook=11_01.xlsx&amp;sheet=A0&amp;row=162&amp;col=15&amp;number=3631500000&amp;sourceID=12","3631500000")</f>
        <v>3631500000</v>
      </c>
      <c r="P162" s="4" t="str">
        <f>HYPERLINK("http://141.218.60.56/~jnz1568/getInfo.php?workbook=11_01.xlsx&amp;sheet=A0&amp;row=162&amp;col=16&amp;number=&amp;sourceID=12","")</f>
        <v/>
      </c>
      <c r="Q162" s="4" t="str">
        <f>HYPERLINK("http://141.218.60.56/~jnz1568/getInfo.php?workbook=11_01.xlsx&amp;sheet=A0&amp;row=162&amp;col=17&amp;number=28.085&amp;sourceID=12","28.085")</f>
        <v>28.085</v>
      </c>
      <c r="R162" s="4" t="str">
        <f>HYPERLINK("http://141.218.60.56/~jnz1568/getInfo.php?workbook=11_01.xlsx&amp;sheet=A0&amp;row=162&amp;col=18&amp;number=&amp;sourceID=12","")</f>
        <v/>
      </c>
      <c r="S162" s="4" t="str">
        <f>HYPERLINK("http://141.218.60.56/~jnz1568/getInfo.php?workbook=11_01.xlsx&amp;sheet=A0&amp;row=162&amp;col=19&amp;number=&amp;sourceID=12","")</f>
        <v/>
      </c>
      <c r="T162" s="4" t="str">
        <f>HYPERLINK("http://141.218.60.56/~jnz1568/getInfo.php?workbook=11_01.xlsx&amp;sheet=A0&amp;row=162&amp;col=20&amp;number=&amp;sourceID=12","")</f>
        <v/>
      </c>
      <c r="U162" s="4" t="str">
        <f>HYPERLINK("http://141.218.60.56/~jnz1568/getInfo.php?workbook=11_01.xlsx&amp;sheet=A0&amp;row=162&amp;col=21&amp;number=3632000000&amp;sourceID=30","3632000000")</f>
        <v>3632000000</v>
      </c>
      <c r="V162" s="4" t="str">
        <f>HYPERLINK("http://141.218.60.56/~jnz1568/getInfo.php?workbook=11_01.xlsx&amp;sheet=A0&amp;row=162&amp;col=22&amp;number=3632000000&amp;sourceID=30","3632000000")</f>
        <v>3632000000</v>
      </c>
      <c r="W162" s="4" t="str">
        <f>HYPERLINK("http://141.218.60.56/~jnz1568/getInfo.php?workbook=11_01.xlsx&amp;sheet=A0&amp;row=162&amp;col=23&amp;number=&amp;sourceID=30","")</f>
        <v/>
      </c>
      <c r="X162" s="4" t="str">
        <f>HYPERLINK("http://141.218.60.56/~jnz1568/getInfo.php?workbook=11_01.xlsx&amp;sheet=A0&amp;row=162&amp;col=24&amp;number=&amp;sourceID=30","")</f>
        <v/>
      </c>
      <c r="Y162" s="4" t="str">
        <f>HYPERLINK("http://141.218.60.56/~jnz1568/getInfo.php?workbook=11_01.xlsx&amp;sheet=A0&amp;row=162&amp;col=25&amp;number=&amp;sourceID=30","")</f>
        <v/>
      </c>
      <c r="Z162" s="4" t="str">
        <f>HYPERLINK("http://141.218.60.56/~jnz1568/getInfo.php?workbook=11_01.xlsx&amp;sheet=A0&amp;row=162&amp;col=26&amp;number=&amp;sourceID=13","")</f>
        <v/>
      </c>
      <c r="AA162" s="4" t="str">
        <f>HYPERLINK("http://141.218.60.56/~jnz1568/getInfo.php?workbook=11_01.xlsx&amp;sheet=A0&amp;row=162&amp;col=27&amp;number=&amp;sourceID=13","")</f>
        <v/>
      </c>
      <c r="AB162" s="4" t="str">
        <f>HYPERLINK("http://141.218.60.56/~jnz1568/getInfo.php?workbook=11_01.xlsx&amp;sheet=A0&amp;row=162&amp;col=28&amp;number=&amp;sourceID=13","")</f>
        <v/>
      </c>
      <c r="AC162" s="4" t="str">
        <f>HYPERLINK("http://141.218.60.56/~jnz1568/getInfo.php?workbook=11_01.xlsx&amp;sheet=A0&amp;row=162&amp;col=29&amp;number=&amp;sourceID=13","")</f>
        <v/>
      </c>
      <c r="AD162" s="4" t="str">
        <f>HYPERLINK("http://141.218.60.56/~jnz1568/getInfo.php?workbook=11_01.xlsx&amp;sheet=A0&amp;row=162&amp;col=30&amp;number=&amp;sourceID=13","")</f>
        <v/>
      </c>
      <c r="AE162" s="4" t="str">
        <f>HYPERLINK("http://141.218.60.56/~jnz1568/getInfo.php?workbook=11_01.xlsx&amp;sheet=A0&amp;row=162&amp;col=31&amp;number=&amp;sourceID=13","")</f>
        <v/>
      </c>
    </row>
    <row r="163" spans="1:31">
      <c r="A163" s="3">
        <v>11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HYPERLINK("http://141.218.60.56/~jnz1568/getInfo.php?workbook=11_01.xlsx&amp;sheet=A0&amp;row=163&amp;col=6&amp;number=&amp;sourceID=18","")</f>
        <v/>
      </c>
      <c r="G163" s="4" t="str">
        <f>HYPERLINK("http://141.218.60.56/~jnz1568/getInfo.php?workbook=11_01.xlsx&amp;sheet=A0&amp;row=163&amp;col=7&amp;number==&amp;sourceID=11","=")</f>
        <v>=</v>
      </c>
      <c r="H163" s="4" t="str">
        <f>HYPERLINK("http://141.218.60.56/~jnz1568/getInfo.php?workbook=11_01.xlsx&amp;sheet=A0&amp;row=163&amp;col=8&amp;number=744750000&amp;sourceID=11","744750000")</f>
        <v>744750000</v>
      </c>
      <c r="I163" s="4" t="str">
        <f>HYPERLINK("http://141.218.60.56/~jnz1568/getInfo.php?workbook=11_01.xlsx&amp;sheet=A0&amp;row=163&amp;col=9&amp;number=&amp;sourceID=11","")</f>
        <v/>
      </c>
      <c r="J163" s="4" t="str">
        <f>HYPERLINK("http://141.218.60.56/~jnz1568/getInfo.php?workbook=11_01.xlsx&amp;sheet=A0&amp;row=163&amp;col=10&amp;number=2.5236&amp;sourceID=11","2.5236")</f>
        <v>2.5236</v>
      </c>
      <c r="K163" s="4" t="str">
        <f>HYPERLINK("http://141.218.60.56/~jnz1568/getInfo.php?workbook=11_01.xlsx&amp;sheet=A0&amp;row=163&amp;col=11&amp;number=&amp;sourceID=11","")</f>
        <v/>
      </c>
      <c r="L163" s="4" t="str">
        <f>HYPERLINK("http://141.218.60.56/~jnz1568/getInfo.php?workbook=11_01.xlsx&amp;sheet=A0&amp;row=163&amp;col=12&amp;number=0.17473&amp;sourceID=11","0.17473")</f>
        <v>0.17473</v>
      </c>
      <c r="M163" s="4" t="str">
        <f>HYPERLINK("http://141.218.60.56/~jnz1568/getInfo.php?workbook=11_01.xlsx&amp;sheet=A0&amp;row=163&amp;col=13&amp;number=&amp;sourceID=11","")</f>
        <v/>
      </c>
      <c r="N163" s="4" t="str">
        <f>HYPERLINK("http://141.218.60.56/~jnz1568/getInfo.php?workbook=11_01.xlsx&amp;sheet=A0&amp;row=163&amp;col=14&amp;number=744770000&amp;sourceID=12","744770000")</f>
        <v>744770000</v>
      </c>
      <c r="O163" s="4" t="str">
        <f>HYPERLINK("http://141.218.60.56/~jnz1568/getInfo.php?workbook=11_01.xlsx&amp;sheet=A0&amp;row=163&amp;col=15&amp;number=744770000&amp;sourceID=12","744770000")</f>
        <v>744770000</v>
      </c>
      <c r="P163" s="4" t="str">
        <f>HYPERLINK("http://141.218.60.56/~jnz1568/getInfo.php?workbook=11_01.xlsx&amp;sheet=A0&amp;row=163&amp;col=16&amp;number=&amp;sourceID=12","")</f>
        <v/>
      </c>
      <c r="Q163" s="4" t="str">
        <f>HYPERLINK("http://141.218.60.56/~jnz1568/getInfo.php?workbook=11_01.xlsx&amp;sheet=A0&amp;row=163&amp;col=17&amp;number=2.5236&amp;sourceID=12","2.5236")</f>
        <v>2.5236</v>
      </c>
      <c r="R163" s="4" t="str">
        <f>HYPERLINK("http://141.218.60.56/~jnz1568/getInfo.php?workbook=11_01.xlsx&amp;sheet=A0&amp;row=163&amp;col=18&amp;number=&amp;sourceID=12","")</f>
        <v/>
      </c>
      <c r="S163" s="4" t="str">
        <f>HYPERLINK("http://141.218.60.56/~jnz1568/getInfo.php?workbook=11_01.xlsx&amp;sheet=A0&amp;row=163&amp;col=19&amp;number=0.17474&amp;sourceID=12","0.17474")</f>
        <v>0.17474</v>
      </c>
      <c r="T163" s="4" t="str">
        <f>HYPERLINK("http://141.218.60.56/~jnz1568/getInfo.php?workbook=11_01.xlsx&amp;sheet=A0&amp;row=163&amp;col=20&amp;number=&amp;sourceID=12","")</f>
        <v/>
      </c>
      <c r="U163" s="4" t="str">
        <f>HYPERLINK("http://141.218.60.56/~jnz1568/getInfo.php?workbook=11_01.xlsx&amp;sheet=A0&amp;row=163&amp;col=21&amp;number=744800000.175&amp;sourceID=30","744800000.175")</f>
        <v>744800000.175</v>
      </c>
      <c r="V163" s="4" t="str">
        <f>HYPERLINK("http://141.218.60.56/~jnz1568/getInfo.php?workbook=11_01.xlsx&amp;sheet=A0&amp;row=163&amp;col=22&amp;number=744800000&amp;sourceID=30","744800000")</f>
        <v>744800000</v>
      </c>
      <c r="W163" s="4" t="str">
        <f>HYPERLINK("http://141.218.60.56/~jnz1568/getInfo.php?workbook=11_01.xlsx&amp;sheet=A0&amp;row=163&amp;col=23&amp;number=&amp;sourceID=30","")</f>
        <v/>
      </c>
      <c r="X163" s="4" t="str">
        <f>HYPERLINK("http://141.218.60.56/~jnz1568/getInfo.php?workbook=11_01.xlsx&amp;sheet=A0&amp;row=163&amp;col=24&amp;number=&amp;sourceID=30","")</f>
        <v/>
      </c>
      <c r="Y163" s="4" t="str">
        <f>HYPERLINK("http://141.218.60.56/~jnz1568/getInfo.php?workbook=11_01.xlsx&amp;sheet=A0&amp;row=163&amp;col=25&amp;number=0.1747&amp;sourceID=30","0.1747")</f>
        <v>0.1747</v>
      </c>
      <c r="Z163" s="4" t="str">
        <f>HYPERLINK("http://141.218.60.56/~jnz1568/getInfo.php?workbook=11_01.xlsx&amp;sheet=A0&amp;row=163&amp;col=26&amp;number=&amp;sourceID=13","")</f>
        <v/>
      </c>
      <c r="AA163" s="4" t="str">
        <f>HYPERLINK("http://141.218.60.56/~jnz1568/getInfo.php?workbook=11_01.xlsx&amp;sheet=A0&amp;row=163&amp;col=27&amp;number=&amp;sourceID=13","")</f>
        <v/>
      </c>
      <c r="AB163" s="4" t="str">
        <f>HYPERLINK("http://141.218.60.56/~jnz1568/getInfo.php?workbook=11_01.xlsx&amp;sheet=A0&amp;row=163&amp;col=28&amp;number=&amp;sourceID=13","")</f>
        <v/>
      </c>
      <c r="AC163" s="4" t="str">
        <f>HYPERLINK("http://141.218.60.56/~jnz1568/getInfo.php?workbook=11_01.xlsx&amp;sheet=A0&amp;row=163&amp;col=29&amp;number=&amp;sourceID=13","")</f>
        <v/>
      </c>
      <c r="AD163" s="4" t="str">
        <f>HYPERLINK("http://141.218.60.56/~jnz1568/getInfo.php?workbook=11_01.xlsx&amp;sheet=A0&amp;row=163&amp;col=30&amp;number=&amp;sourceID=13","")</f>
        <v/>
      </c>
      <c r="AE163" s="4" t="str">
        <f>HYPERLINK("http://141.218.60.56/~jnz1568/getInfo.php?workbook=11_01.xlsx&amp;sheet=A0&amp;row=163&amp;col=31&amp;number=&amp;sourceID=13","")</f>
        <v/>
      </c>
    </row>
    <row r="164" spans="1:31">
      <c r="A164" s="3">
        <v>11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HYPERLINK("http://141.218.60.56/~jnz1568/getInfo.php?workbook=11_01.xlsx&amp;sheet=A0&amp;row=164&amp;col=6&amp;number=&amp;sourceID=18","")</f>
        <v/>
      </c>
      <c r="G164" s="4" t="str">
        <f>HYPERLINK("http://141.218.60.56/~jnz1568/getInfo.php?workbook=11_01.xlsx&amp;sheet=A0&amp;row=164&amp;col=7&amp;number==&amp;sourceID=11","=")</f>
        <v>=</v>
      </c>
      <c r="H164" s="4" t="str">
        <f>HYPERLINK("http://141.218.60.56/~jnz1568/getInfo.php?workbook=11_01.xlsx&amp;sheet=A0&amp;row=164&amp;col=8&amp;number=&amp;sourceID=11","")</f>
        <v/>
      </c>
      <c r="I164" s="4" t="str">
        <f>HYPERLINK("http://141.218.60.56/~jnz1568/getInfo.php?workbook=11_01.xlsx&amp;sheet=A0&amp;row=164&amp;col=9&amp;number=141290&amp;sourceID=11","141290")</f>
        <v>141290</v>
      </c>
      <c r="J164" s="4" t="str">
        <f>HYPERLINK("http://141.218.60.56/~jnz1568/getInfo.php?workbook=11_01.xlsx&amp;sheet=A0&amp;row=164&amp;col=10&amp;number=&amp;sourceID=11","")</f>
        <v/>
      </c>
      <c r="K164" s="4" t="str">
        <f>HYPERLINK("http://141.218.60.56/~jnz1568/getInfo.php?workbook=11_01.xlsx&amp;sheet=A0&amp;row=164&amp;col=11&amp;number=0.14637&amp;sourceID=11","0.14637")</f>
        <v>0.14637</v>
      </c>
      <c r="L164" s="4" t="str">
        <f>HYPERLINK("http://141.218.60.56/~jnz1568/getInfo.php?workbook=11_01.xlsx&amp;sheet=A0&amp;row=164&amp;col=12&amp;number=&amp;sourceID=11","")</f>
        <v/>
      </c>
      <c r="M164" s="4" t="str">
        <f>HYPERLINK("http://141.218.60.56/~jnz1568/getInfo.php?workbook=11_01.xlsx&amp;sheet=A0&amp;row=164&amp;col=13&amp;number=9.4255e-06&amp;sourceID=11","9.4255e-06")</f>
        <v>9.4255e-06</v>
      </c>
      <c r="N164" s="4" t="str">
        <f>HYPERLINK("http://141.218.60.56/~jnz1568/getInfo.php?workbook=11_01.xlsx&amp;sheet=A0&amp;row=164&amp;col=14&amp;number=141300&amp;sourceID=12","141300")</f>
        <v>141300</v>
      </c>
      <c r="O164" s="4" t="str">
        <f>HYPERLINK("http://141.218.60.56/~jnz1568/getInfo.php?workbook=11_01.xlsx&amp;sheet=A0&amp;row=164&amp;col=15&amp;number=&amp;sourceID=12","")</f>
        <v/>
      </c>
      <c r="P164" s="4" t="str">
        <f>HYPERLINK("http://141.218.60.56/~jnz1568/getInfo.php?workbook=11_01.xlsx&amp;sheet=A0&amp;row=164&amp;col=16&amp;number=141300&amp;sourceID=12","141300")</f>
        <v>141300</v>
      </c>
      <c r="Q164" s="4" t="str">
        <f>HYPERLINK("http://141.218.60.56/~jnz1568/getInfo.php?workbook=11_01.xlsx&amp;sheet=A0&amp;row=164&amp;col=17&amp;number=&amp;sourceID=12","")</f>
        <v/>
      </c>
      <c r="R164" s="4" t="str">
        <f>HYPERLINK("http://141.218.60.56/~jnz1568/getInfo.php?workbook=11_01.xlsx&amp;sheet=A0&amp;row=164&amp;col=18&amp;number=0.14637&amp;sourceID=12","0.14637")</f>
        <v>0.14637</v>
      </c>
      <c r="S164" s="4" t="str">
        <f>HYPERLINK("http://141.218.60.56/~jnz1568/getInfo.php?workbook=11_01.xlsx&amp;sheet=A0&amp;row=164&amp;col=19&amp;number=&amp;sourceID=12","")</f>
        <v/>
      </c>
      <c r="T164" s="4" t="str">
        <f>HYPERLINK("http://141.218.60.56/~jnz1568/getInfo.php?workbook=11_01.xlsx&amp;sheet=A0&amp;row=164&amp;col=20&amp;number=9.4257e-06&amp;sourceID=12","9.4257e-06")</f>
        <v>9.4257e-06</v>
      </c>
      <c r="U164" s="4" t="str">
        <f>HYPERLINK("http://141.218.60.56/~jnz1568/getInfo.php?workbook=11_01.xlsx&amp;sheet=A0&amp;row=164&amp;col=21&amp;number=141300.1463&amp;sourceID=30","141300.1463")</f>
        <v>141300.1463</v>
      </c>
      <c r="V164" s="4" t="str">
        <f>HYPERLINK("http://141.218.60.56/~jnz1568/getInfo.php?workbook=11_01.xlsx&amp;sheet=A0&amp;row=164&amp;col=22&amp;number=&amp;sourceID=30","")</f>
        <v/>
      </c>
      <c r="W164" s="4" t="str">
        <f>HYPERLINK("http://141.218.60.56/~jnz1568/getInfo.php?workbook=11_01.xlsx&amp;sheet=A0&amp;row=164&amp;col=23&amp;number=141300&amp;sourceID=30","141300")</f>
        <v>141300</v>
      </c>
      <c r="X164" s="4" t="str">
        <f>HYPERLINK("http://141.218.60.56/~jnz1568/getInfo.php?workbook=11_01.xlsx&amp;sheet=A0&amp;row=164&amp;col=24&amp;number=0.1463&amp;sourceID=30","0.1463")</f>
        <v>0.1463</v>
      </c>
      <c r="Y164" s="4" t="str">
        <f>HYPERLINK("http://141.218.60.56/~jnz1568/getInfo.php?workbook=11_01.xlsx&amp;sheet=A0&amp;row=164&amp;col=25&amp;number=&amp;sourceID=30","")</f>
        <v/>
      </c>
      <c r="Z164" s="4" t="str">
        <f>HYPERLINK("http://141.218.60.56/~jnz1568/getInfo.php?workbook=11_01.xlsx&amp;sheet=A0&amp;row=164&amp;col=26&amp;number=&amp;sourceID=13","")</f>
        <v/>
      </c>
      <c r="AA164" s="4" t="str">
        <f>HYPERLINK("http://141.218.60.56/~jnz1568/getInfo.php?workbook=11_01.xlsx&amp;sheet=A0&amp;row=164&amp;col=27&amp;number=&amp;sourceID=13","")</f>
        <v/>
      </c>
      <c r="AB164" s="4" t="str">
        <f>HYPERLINK("http://141.218.60.56/~jnz1568/getInfo.php?workbook=11_01.xlsx&amp;sheet=A0&amp;row=164&amp;col=28&amp;number=&amp;sourceID=13","")</f>
        <v/>
      </c>
      <c r="AC164" s="4" t="str">
        <f>HYPERLINK("http://141.218.60.56/~jnz1568/getInfo.php?workbook=11_01.xlsx&amp;sheet=A0&amp;row=164&amp;col=29&amp;number=&amp;sourceID=13","")</f>
        <v/>
      </c>
      <c r="AD164" s="4" t="str">
        <f>HYPERLINK("http://141.218.60.56/~jnz1568/getInfo.php?workbook=11_01.xlsx&amp;sheet=A0&amp;row=164&amp;col=30&amp;number=&amp;sourceID=13","")</f>
        <v/>
      </c>
      <c r="AE164" s="4" t="str">
        <f>HYPERLINK("http://141.218.60.56/~jnz1568/getInfo.php?workbook=11_01.xlsx&amp;sheet=A0&amp;row=164&amp;col=31&amp;number=&amp;sourceID=13","")</f>
        <v/>
      </c>
    </row>
    <row r="165" spans="1:31">
      <c r="A165" s="3">
        <v>11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HYPERLINK("http://141.218.60.56/~jnz1568/getInfo.php?workbook=11_01.xlsx&amp;sheet=A0&amp;row=165&amp;col=6&amp;number=&amp;sourceID=18","")</f>
        <v/>
      </c>
      <c r="G165" s="4" t="str">
        <f>HYPERLINK("http://141.218.60.56/~jnz1568/getInfo.php?workbook=11_01.xlsx&amp;sheet=A0&amp;row=165&amp;col=7&amp;number==&amp;sourceID=11","=")</f>
        <v>=</v>
      </c>
      <c r="H165" s="4" t="str">
        <f>HYPERLINK("http://141.218.60.56/~jnz1568/getInfo.php?workbook=11_01.xlsx&amp;sheet=A0&amp;row=165&amp;col=8&amp;number=&amp;sourceID=11","")</f>
        <v/>
      </c>
      <c r="I165" s="4" t="str">
        <f>HYPERLINK("http://141.218.60.56/~jnz1568/getInfo.php?workbook=11_01.xlsx&amp;sheet=A0&amp;row=165&amp;col=9&amp;number=&amp;sourceID=11","")</f>
        <v/>
      </c>
      <c r="J165" s="4" t="str">
        <f>HYPERLINK("http://141.218.60.56/~jnz1568/getInfo.php?workbook=11_01.xlsx&amp;sheet=A0&amp;row=165&amp;col=10&amp;number=1.4006&amp;sourceID=11","1.4006")</f>
        <v>1.4006</v>
      </c>
      <c r="K165" s="4" t="str">
        <f>HYPERLINK("http://141.218.60.56/~jnz1568/getInfo.php?workbook=11_01.xlsx&amp;sheet=A0&amp;row=165&amp;col=11&amp;number=&amp;sourceID=11","")</f>
        <v/>
      </c>
      <c r="L165" s="4" t="str">
        <f>HYPERLINK("http://141.218.60.56/~jnz1568/getInfo.php?workbook=11_01.xlsx&amp;sheet=A0&amp;row=165&amp;col=12&amp;number=0.29889&amp;sourceID=11","0.29889")</f>
        <v>0.29889</v>
      </c>
      <c r="M165" s="4" t="str">
        <f>HYPERLINK("http://141.218.60.56/~jnz1568/getInfo.php?workbook=11_01.xlsx&amp;sheet=A0&amp;row=165&amp;col=13&amp;number=&amp;sourceID=11","")</f>
        <v/>
      </c>
      <c r="N165" s="4" t="str">
        <f>HYPERLINK("http://141.218.60.56/~jnz1568/getInfo.php?workbook=11_01.xlsx&amp;sheet=A0&amp;row=165&amp;col=14&amp;number=1.6995&amp;sourceID=12","1.6995")</f>
        <v>1.6995</v>
      </c>
      <c r="O165" s="4" t="str">
        <f>HYPERLINK("http://141.218.60.56/~jnz1568/getInfo.php?workbook=11_01.xlsx&amp;sheet=A0&amp;row=165&amp;col=15&amp;number=&amp;sourceID=12","")</f>
        <v/>
      </c>
      <c r="P165" s="4" t="str">
        <f>HYPERLINK("http://141.218.60.56/~jnz1568/getInfo.php?workbook=11_01.xlsx&amp;sheet=A0&amp;row=165&amp;col=16&amp;number=&amp;sourceID=12","")</f>
        <v/>
      </c>
      <c r="Q165" s="4" t="str">
        <f>HYPERLINK("http://141.218.60.56/~jnz1568/getInfo.php?workbook=11_01.xlsx&amp;sheet=A0&amp;row=165&amp;col=17&amp;number=1.4006&amp;sourceID=12","1.4006")</f>
        <v>1.4006</v>
      </c>
      <c r="R165" s="4" t="str">
        <f>HYPERLINK("http://141.218.60.56/~jnz1568/getInfo.php?workbook=11_01.xlsx&amp;sheet=A0&amp;row=165&amp;col=18&amp;number=&amp;sourceID=12","")</f>
        <v/>
      </c>
      <c r="S165" s="4" t="str">
        <f>HYPERLINK("http://141.218.60.56/~jnz1568/getInfo.php?workbook=11_01.xlsx&amp;sheet=A0&amp;row=165&amp;col=19&amp;number=0.2989&amp;sourceID=12","0.2989")</f>
        <v>0.2989</v>
      </c>
      <c r="T165" s="4" t="str">
        <f>HYPERLINK("http://141.218.60.56/~jnz1568/getInfo.php?workbook=11_01.xlsx&amp;sheet=A0&amp;row=165&amp;col=20&amp;number=&amp;sourceID=12","")</f>
        <v/>
      </c>
      <c r="U165" s="4" t="str">
        <f>HYPERLINK("http://141.218.60.56/~jnz1568/getInfo.php?workbook=11_01.xlsx&amp;sheet=A0&amp;row=165&amp;col=21&amp;number=0.2989&amp;sourceID=30","0.2989")</f>
        <v>0.2989</v>
      </c>
      <c r="V165" s="4" t="str">
        <f>HYPERLINK("http://141.218.60.56/~jnz1568/getInfo.php?workbook=11_01.xlsx&amp;sheet=A0&amp;row=165&amp;col=22&amp;number=&amp;sourceID=30","")</f>
        <v/>
      </c>
      <c r="W165" s="4" t="str">
        <f>HYPERLINK("http://141.218.60.56/~jnz1568/getInfo.php?workbook=11_01.xlsx&amp;sheet=A0&amp;row=165&amp;col=23&amp;number=&amp;sourceID=30","")</f>
        <v/>
      </c>
      <c r="X165" s="4" t="str">
        <f>HYPERLINK("http://141.218.60.56/~jnz1568/getInfo.php?workbook=11_01.xlsx&amp;sheet=A0&amp;row=165&amp;col=24&amp;number=&amp;sourceID=30","")</f>
        <v/>
      </c>
      <c r="Y165" s="4" t="str">
        <f>HYPERLINK("http://141.218.60.56/~jnz1568/getInfo.php?workbook=11_01.xlsx&amp;sheet=A0&amp;row=165&amp;col=25&amp;number=0.2989&amp;sourceID=30","0.2989")</f>
        <v>0.2989</v>
      </c>
      <c r="Z165" s="4" t="str">
        <f>HYPERLINK("http://141.218.60.56/~jnz1568/getInfo.php?workbook=11_01.xlsx&amp;sheet=A0&amp;row=165&amp;col=26&amp;number=&amp;sourceID=13","")</f>
        <v/>
      </c>
      <c r="AA165" s="4" t="str">
        <f>HYPERLINK("http://141.218.60.56/~jnz1568/getInfo.php?workbook=11_01.xlsx&amp;sheet=A0&amp;row=165&amp;col=27&amp;number=&amp;sourceID=13","")</f>
        <v/>
      </c>
      <c r="AB165" s="4" t="str">
        <f>HYPERLINK("http://141.218.60.56/~jnz1568/getInfo.php?workbook=11_01.xlsx&amp;sheet=A0&amp;row=165&amp;col=28&amp;number=&amp;sourceID=13","")</f>
        <v/>
      </c>
      <c r="AC165" s="4" t="str">
        <f>HYPERLINK("http://141.218.60.56/~jnz1568/getInfo.php?workbook=11_01.xlsx&amp;sheet=A0&amp;row=165&amp;col=29&amp;number=&amp;sourceID=13","")</f>
        <v/>
      </c>
      <c r="AD165" s="4" t="str">
        <f>HYPERLINK("http://141.218.60.56/~jnz1568/getInfo.php?workbook=11_01.xlsx&amp;sheet=A0&amp;row=165&amp;col=30&amp;number=&amp;sourceID=13","")</f>
        <v/>
      </c>
      <c r="AE165" s="4" t="str">
        <f>HYPERLINK("http://141.218.60.56/~jnz1568/getInfo.php?workbook=11_01.xlsx&amp;sheet=A0&amp;row=165&amp;col=31&amp;number=&amp;sourceID=13","")</f>
        <v/>
      </c>
    </row>
    <row r="166" spans="1:31">
      <c r="A166" s="3">
        <v>11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HYPERLINK("http://141.218.60.56/~jnz1568/getInfo.php?workbook=11_01.xlsx&amp;sheet=A0&amp;row=166&amp;col=6&amp;number=&amp;sourceID=18","")</f>
        <v/>
      </c>
      <c r="G166" s="4" t="str">
        <f>HYPERLINK("http://141.218.60.56/~jnz1568/getInfo.php?workbook=11_01.xlsx&amp;sheet=A0&amp;row=166&amp;col=7&amp;number==&amp;sourceID=11","=")</f>
        <v>=</v>
      </c>
      <c r="H166" s="4" t="str">
        <f>HYPERLINK("http://141.218.60.56/~jnz1568/getInfo.php?workbook=11_01.xlsx&amp;sheet=A0&amp;row=166&amp;col=8&amp;number=267.19&amp;sourceID=11","267.19")</f>
        <v>267.19</v>
      </c>
      <c r="I166" s="4" t="str">
        <f>HYPERLINK("http://141.218.60.56/~jnz1568/getInfo.php?workbook=11_01.xlsx&amp;sheet=A0&amp;row=166&amp;col=9&amp;number=&amp;sourceID=11","")</f>
        <v/>
      </c>
      <c r="J166" s="4" t="str">
        <f>HYPERLINK("http://141.218.60.56/~jnz1568/getInfo.php?workbook=11_01.xlsx&amp;sheet=A0&amp;row=166&amp;col=10&amp;number=&amp;sourceID=11","")</f>
        <v/>
      </c>
      <c r="K166" s="4" t="str">
        <f>HYPERLINK("http://141.218.60.56/~jnz1568/getInfo.php?workbook=11_01.xlsx&amp;sheet=A0&amp;row=166&amp;col=11&amp;number=&amp;sourceID=11","")</f>
        <v/>
      </c>
      <c r="L166" s="4" t="str">
        <f>HYPERLINK("http://141.218.60.56/~jnz1568/getInfo.php?workbook=11_01.xlsx&amp;sheet=A0&amp;row=166&amp;col=12&amp;number=1.4e-14&amp;sourceID=11","1.4e-14")</f>
        <v>1.4e-14</v>
      </c>
      <c r="M166" s="4" t="str">
        <f>HYPERLINK("http://141.218.60.56/~jnz1568/getInfo.php?workbook=11_01.xlsx&amp;sheet=A0&amp;row=166&amp;col=13&amp;number=&amp;sourceID=11","")</f>
        <v/>
      </c>
      <c r="N166" s="4" t="str">
        <f>HYPERLINK("http://141.218.60.56/~jnz1568/getInfo.php?workbook=11_01.xlsx&amp;sheet=A0&amp;row=166&amp;col=14&amp;number=267.21&amp;sourceID=12","267.21")</f>
        <v>267.21</v>
      </c>
      <c r="O166" s="4" t="str">
        <f>HYPERLINK("http://141.218.60.56/~jnz1568/getInfo.php?workbook=11_01.xlsx&amp;sheet=A0&amp;row=166&amp;col=15&amp;number=267.21&amp;sourceID=12","267.21")</f>
        <v>267.21</v>
      </c>
      <c r="P166" s="4" t="str">
        <f>HYPERLINK("http://141.218.60.56/~jnz1568/getInfo.php?workbook=11_01.xlsx&amp;sheet=A0&amp;row=166&amp;col=16&amp;number=&amp;sourceID=12","")</f>
        <v/>
      </c>
      <c r="Q166" s="4" t="str">
        <f>HYPERLINK("http://141.218.60.56/~jnz1568/getInfo.php?workbook=11_01.xlsx&amp;sheet=A0&amp;row=166&amp;col=17&amp;number=&amp;sourceID=12","")</f>
        <v/>
      </c>
      <c r="R166" s="4" t="str">
        <f>HYPERLINK("http://141.218.60.56/~jnz1568/getInfo.php?workbook=11_01.xlsx&amp;sheet=A0&amp;row=166&amp;col=18&amp;number=&amp;sourceID=12","")</f>
        <v/>
      </c>
      <c r="S166" s="4" t="str">
        <f>HYPERLINK("http://141.218.60.56/~jnz1568/getInfo.php?workbook=11_01.xlsx&amp;sheet=A0&amp;row=166&amp;col=19&amp;number=1.4e-14&amp;sourceID=12","1.4e-14")</f>
        <v>1.4e-14</v>
      </c>
      <c r="T166" s="4" t="str">
        <f>HYPERLINK("http://141.218.60.56/~jnz1568/getInfo.php?workbook=11_01.xlsx&amp;sheet=A0&amp;row=166&amp;col=20&amp;number=&amp;sourceID=12","")</f>
        <v/>
      </c>
      <c r="U166" s="4" t="str">
        <f>HYPERLINK("http://141.218.60.56/~jnz1568/getInfo.php?workbook=11_01.xlsx&amp;sheet=A0&amp;row=166&amp;col=21&amp;number=267.2&amp;sourceID=30","267.2")</f>
        <v>267.2</v>
      </c>
      <c r="V166" s="4" t="str">
        <f>HYPERLINK("http://141.218.60.56/~jnz1568/getInfo.php?workbook=11_01.xlsx&amp;sheet=A0&amp;row=166&amp;col=22&amp;number=267.2&amp;sourceID=30","267.2")</f>
        <v>267.2</v>
      </c>
      <c r="W166" s="4" t="str">
        <f>HYPERLINK("http://141.218.60.56/~jnz1568/getInfo.php?workbook=11_01.xlsx&amp;sheet=A0&amp;row=166&amp;col=23&amp;number=&amp;sourceID=30","")</f>
        <v/>
      </c>
      <c r="X166" s="4" t="str">
        <f>HYPERLINK("http://141.218.60.56/~jnz1568/getInfo.php?workbook=11_01.xlsx&amp;sheet=A0&amp;row=166&amp;col=24&amp;number=&amp;sourceID=30","")</f>
        <v/>
      </c>
      <c r="Y166" s="4" t="str">
        <f>HYPERLINK("http://141.218.60.56/~jnz1568/getInfo.php?workbook=11_01.xlsx&amp;sheet=A0&amp;row=166&amp;col=25&amp;number=1.4e-14&amp;sourceID=30","1.4e-14")</f>
        <v>1.4e-14</v>
      </c>
      <c r="Z166" s="4" t="str">
        <f>HYPERLINK("http://141.218.60.56/~jnz1568/getInfo.php?workbook=11_01.xlsx&amp;sheet=A0&amp;row=166&amp;col=26&amp;number=&amp;sourceID=13","")</f>
        <v/>
      </c>
      <c r="AA166" s="4" t="str">
        <f>HYPERLINK("http://141.218.60.56/~jnz1568/getInfo.php?workbook=11_01.xlsx&amp;sheet=A0&amp;row=166&amp;col=27&amp;number=&amp;sourceID=13","")</f>
        <v/>
      </c>
      <c r="AB166" s="4" t="str">
        <f>HYPERLINK("http://141.218.60.56/~jnz1568/getInfo.php?workbook=11_01.xlsx&amp;sheet=A0&amp;row=166&amp;col=28&amp;number=&amp;sourceID=13","")</f>
        <v/>
      </c>
      <c r="AC166" s="4" t="str">
        <f>HYPERLINK("http://141.218.60.56/~jnz1568/getInfo.php?workbook=11_01.xlsx&amp;sheet=A0&amp;row=166&amp;col=29&amp;number=&amp;sourceID=13","")</f>
        <v/>
      </c>
      <c r="AD166" s="4" t="str">
        <f>HYPERLINK("http://141.218.60.56/~jnz1568/getInfo.php?workbook=11_01.xlsx&amp;sheet=A0&amp;row=166&amp;col=30&amp;number=&amp;sourceID=13","")</f>
        <v/>
      </c>
      <c r="AE166" s="4" t="str">
        <f>HYPERLINK("http://141.218.60.56/~jnz1568/getInfo.php?workbook=11_01.xlsx&amp;sheet=A0&amp;row=166&amp;col=31&amp;number=&amp;sourceID=13","")</f>
        <v/>
      </c>
    </row>
    <row r="167" spans="1:31">
      <c r="A167" s="3">
        <v>11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HYPERLINK("http://141.218.60.56/~jnz1568/getInfo.php?workbook=11_01.xlsx&amp;sheet=A0&amp;row=167&amp;col=6&amp;number=&amp;sourceID=18","")</f>
        <v/>
      </c>
      <c r="G167" s="4" t="str">
        <f>HYPERLINK("http://141.218.60.56/~jnz1568/getInfo.php?workbook=11_01.xlsx&amp;sheet=A0&amp;row=167&amp;col=7&amp;number==&amp;sourceID=11","=")</f>
        <v>=</v>
      </c>
      <c r="H167" s="4" t="str">
        <f>HYPERLINK("http://141.218.60.56/~jnz1568/getInfo.php?workbook=11_01.xlsx&amp;sheet=A0&amp;row=167&amp;col=8&amp;number=&amp;sourceID=11","")</f>
        <v/>
      </c>
      <c r="I167" s="4" t="str">
        <f>HYPERLINK("http://141.218.60.56/~jnz1568/getInfo.php?workbook=11_01.xlsx&amp;sheet=A0&amp;row=167&amp;col=9&amp;number=1.4385e-08&amp;sourceID=11","1.4385e-08")</f>
        <v>1.4385e-08</v>
      </c>
      <c r="J167" s="4" t="str">
        <f>HYPERLINK("http://141.218.60.56/~jnz1568/getInfo.php?workbook=11_01.xlsx&amp;sheet=A0&amp;row=167&amp;col=10&amp;number=&amp;sourceID=11","")</f>
        <v/>
      </c>
      <c r="K167" s="4" t="str">
        <f>HYPERLINK("http://141.218.60.56/~jnz1568/getInfo.php?workbook=11_01.xlsx&amp;sheet=A0&amp;row=167&amp;col=11&amp;number=4.36e-13&amp;sourceID=11","4.36e-13")</f>
        <v>4.36e-13</v>
      </c>
      <c r="L167" s="4" t="str">
        <f>HYPERLINK("http://141.218.60.56/~jnz1568/getInfo.php?workbook=11_01.xlsx&amp;sheet=A0&amp;row=167&amp;col=12&amp;number=&amp;sourceID=11","")</f>
        <v/>
      </c>
      <c r="M167" s="4" t="str">
        <f>HYPERLINK("http://141.218.60.56/~jnz1568/getInfo.php?workbook=11_01.xlsx&amp;sheet=A0&amp;row=167&amp;col=13&amp;number=&amp;sourceID=11","")</f>
        <v/>
      </c>
      <c r="N167" s="4" t="str">
        <f>HYPERLINK("http://141.218.60.56/~jnz1568/getInfo.php?workbook=11_01.xlsx&amp;sheet=A0&amp;row=167&amp;col=14&amp;number=1.4386e-08&amp;sourceID=12","1.4386e-08")</f>
        <v>1.4386e-08</v>
      </c>
      <c r="O167" s="4" t="str">
        <f>HYPERLINK("http://141.218.60.56/~jnz1568/getInfo.php?workbook=11_01.xlsx&amp;sheet=A0&amp;row=167&amp;col=15&amp;number=&amp;sourceID=12","")</f>
        <v/>
      </c>
      <c r="P167" s="4" t="str">
        <f>HYPERLINK("http://141.218.60.56/~jnz1568/getInfo.php?workbook=11_01.xlsx&amp;sheet=A0&amp;row=167&amp;col=16&amp;number=1.4386e-08&amp;sourceID=12","1.4386e-08")</f>
        <v>1.4386e-08</v>
      </c>
      <c r="Q167" s="4" t="str">
        <f>HYPERLINK("http://141.218.60.56/~jnz1568/getInfo.php?workbook=11_01.xlsx&amp;sheet=A0&amp;row=167&amp;col=17&amp;number=&amp;sourceID=12","")</f>
        <v/>
      </c>
      <c r="R167" s="4" t="str">
        <f>HYPERLINK("http://141.218.60.56/~jnz1568/getInfo.php?workbook=11_01.xlsx&amp;sheet=A0&amp;row=167&amp;col=18&amp;number=4.36e-13&amp;sourceID=12","4.36e-13")</f>
        <v>4.36e-13</v>
      </c>
      <c r="S167" s="4" t="str">
        <f>HYPERLINK("http://141.218.60.56/~jnz1568/getInfo.php?workbook=11_01.xlsx&amp;sheet=A0&amp;row=167&amp;col=19&amp;number=&amp;sourceID=12","")</f>
        <v/>
      </c>
      <c r="T167" s="4" t="str">
        <f>HYPERLINK("http://141.218.60.56/~jnz1568/getInfo.php?workbook=11_01.xlsx&amp;sheet=A0&amp;row=167&amp;col=20&amp;number=&amp;sourceID=12","")</f>
        <v/>
      </c>
      <c r="U167" s="4" t="str">
        <f>HYPERLINK("http://141.218.60.56/~jnz1568/getInfo.php?workbook=11_01.xlsx&amp;sheet=A0&amp;row=167&amp;col=21&amp;number=1.4390443e-08&amp;sourceID=30","1.4390443e-08")</f>
        <v>1.4390443e-08</v>
      </c>
      <c r="V167" s="4" t="str">
        <f>HYPERLINK("http://141.218.60.56/~jnz1568/getInfo.php?workbook=11_01.xlsx&amp;sheet=A0&amp;row=167&amp;col=22&amp;number=&amp;sourceID=30","")</f>
        <v/>
      </c>
      <c r="W167" s="4" t="str">
        <f>HYPERLINK("http://141.218.60.56/~jnz1568/getInfo.php?workbook=11_01.xlsx&amp;sheet=A0&amp;row=167&amp;col=23&amp;number=1.439e-08&amp;sourceID=30","1.439e-08")</f>
        <v>1.439e-08</v>
      </c>
      <c r="X167" s="4" t="str">
        <f>HYPERLINK("http://141.218.60.56/~jnz1568/getInfo.php?workbook=11_01.xlsx&amp;sheet=A0&amp;row=167&amp;col=24&amp;number=4.43e-13&amp;sourceID=30","4.43e-13")</f>
        <v>4.43e-13</v>
      </c>
      <c r="Y167" s="4" t="str">
        <f>HYPERLINK("http://141.218.60.56/~jnz1568/getInfo.php?workbook=11_01.xlsx&amp;sheet=A0&amp;row=167&amp;col=25&amp;number=&amp;sourceID=30","")</f>
        <v/>
      </c>
      <c r="Z167" s="4" t="str">
        <f>HYPERLINK("http://141.218.60.56/~jnz1568/getInfo.php?workbook=11_01.xlsx&amp;sheet=A0&amp;row=167&amp;col=26&amp;number=&amp;sourceID=13","")</f>
        <v/>
      </c>
      <c r="AA167" s="4" t="str">
        <f>HYPERLINK("http://141.218.60.56/~jnz1568/getInfo.php?workbook=11_01.xlsx&amp;sheet=A0&amp;row=167&amp;col=27&amp;number=&amp;sourceID=13","")</f>
        <v/>
      </c>
      <c r="AB167" s="4" t="str">
        <f>HYPERLINK("http://141.218.60.56/~jnz1568/getInfo.php?workbook=11_01.xlsx&amp;sheet=A0&amp;row=167&amp;col=28&amp;number=&amp;sourceID=13","")</f>
        <v/>
      </c>
      <c r="AC167" s="4" t="str">
        <f>HYPERLINK("http://141.218.60.56/~jnz1568/getInfo.php?workbook=11_01.xlsx&amp;sheet=A0&amp;row=167&amp;col=29&amp;number=&amp;sourceID=13","")</f>
        <v/>
      </c>
      <c r="AD167" s="4" t="str">
        <f>HYPERLINK("http://141.218.60.56/~jnz1568/getInfo.php?workbook=11_01.xlsx&amp;sheet=A0&amp;row=167&amp;col=30&amp;number=&amp;sourceID=13","")</f>
        <v/>
      </c>
      <c r="AE167" s="4" t="str">
        <f>HYPERLINK("http://141.218.60.56/~jnz1568/getInfo.php?workbook=11_01.xlsx&amp;sheet=A0&amp;row=167&amp;col=31&amp;number=&amp;sourceID=13","")</f>
        <v/>
      </c>
    </row>
    <row r="168" spans="1:31">
      <c r="A168" s="3">
        <v>11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HYPERLINK("http://141.218.60.56/~jnz1568/getInfo.php?workbook=11_01.xlsx&amp;sheet=A0&amp;row=168&amp;col=6&amp;number=&amp;sourceID=18","")</f>
        <v/>
      </c>
      <c r="G168" s="4" t="str">
        <f>HYPERLINK("http://141.218.60.56/~jnz1568/getInfo.php?workbook=11_01.xlsx&amp;sheet=A0&amp;row=168&amp;col=7&amp;number==&amp;sourceID=11","=")</f>
        <v>=</v>
      </c>
      <c r="H168" s="4" t="str">
        <f>HYPERLINK("http://141.218.60.56/~jnz1568/getInfo.php?workbook=11_01.xlsx&amp;sheet=A0&amp;row=168&amp;col=8&amp;number=503240000000&amp;sourceID=11","503240000000")</f>
        <v>503240000000</v>
      </c>
      <c r="I168" s="4" t="str">
        <f>HYPERLINK("http://141.218.60.56/~jnz1568/getInfo.php?workbook=11_01.xlsx&amp;sheet=A0&amp;row=168&amp;col=9&amp;number=&amp;sourceID=11","")</f>
        <v/>
      </c>
      <c r="J168" s="4" t="str">
        <f>HYPERLINK("http://141.218.60.56/~jnz1568/getInfo.php?workbook=11_01.xlsx&amp;sheet=A0&amp;row=168&amp;col=10&amp;number=&amp;sourceID=11","")</f>
        <v/>
      </c>
      <c r="K168" s="4" t="str">
        <f>HYPERLINK("http://141.218.60.56/~jnz1568/getInfo.php?workbook=11_01.xlsx&amp;sheet=A0&amp;row=168&amp;col=11&amp;number=&amp;sourceID=11","")</f>
        <v/>
      </c>
      <c r="L168" s="4" t="str">
        <f>HYPERLINK("http://141.218.60.56/~jnz1568/getInfo.php?workbook=11_01.xlsx&amp;sheet=A0&amp;row=168&amp;col=12&amp;number=903790&amp;sourceID=11","903790")</f>
        <v>903790</v>
      </c>
      <c r="M168" s="4" t="str">
        <f>HYPERLINK("http://141.218.60.56/~jnz1568/getInfo.php?workbook=11_01.xlsx&amp;sheet=A0&amp;row=168&amp;col=13&amp;number=&amp;sourceID=11","")</f>
        <v/>
      </c>
      <c r="N168" s="4" t="str">
        <f>HYPERLINK("http://141.218.60.56/~jnz1568/getInfo.php?workbook=11_01.xlsx&amp;sheet=A0&amp;row=168&amp;col=14&amp;number=503260000000&amp;sourceID=12","503260000000")</f>
        <v>503260000000</v>
      </c>
      <c r="O168" s="4" t="str">
        <f>HYPERLINK("http://141.218.60.56/~jnz1568/getInfo.php?workbook=11_01.xlsx&amp;sheet=A0&amp;row=168&amp;col=15&amp;number=503260000000&amp;sourceID=12","503260000000")</f>
        <v>503260000000</v>
      </c>
      <c r="P168" s="4" t="str">
        <f>HYPERLINK("http://141.218.60.56/~jnz1568/getInfo.php?workbook=11_01.xlsx&amp;sheet=A0&amp;row=168&amp;col=16&amp;number=&amp;sourceID=12","")</f>
        <v/>
      </c>
      <c r="Q168" s="4" t="str">
        <f>HYPERLINK("http://141.218.60.56/~jnz1568/getInfo.php?workbook=11_01.xlsx&amp;sheet=A0&amp;row=168&amp;col=17&amp;number=&amp;sourceID=12","")</f>
        <v/>
      </c>
      <c r="R168" s="4" t="str">
        <f>HYPERLINK("http://141.218.60.56/~jnz1568/getInfo.php?workbook=11_01.xlsx&amp;sheet=A0&amp;row=168&amp;col=18&amp;number=&amp;sourceID=12","")</f>
        <v/>
      </c>
      <c r="S168" s="4" t="str">
        <f>HYPERLINK("http://141.218.60.56/~jnz1568/getInfo.php?workbook=11_01.xlsx&amp;sheet=A0&amp;row=168&amp;col=19&amp;number=903810&amp;sourceID=12","903810")</f>
        <v>903810</v>
      </c>
      <c r="T168" s="4" t="str">
        <f>HYPERLINK("http://141.218.60.56/~jnz1568/getInfo.php?workbook=11_01.xlsx&amp;sheet=A0&amp;row=168&amp;col=20&amp;number=&amp;sourceID=12","")</f>
        <v/>
      </c>
      <c r="U168" s="4" t="str">
        <f>HYPERLINK("http://141.218.60.56/~jnz1568/getInfo.php?workbook=11_01.xlsx&amp;sheet=A0&amp;row=168&amp;col=21&amp;number=503300903800&amp;sourceID=30","503300903800")</f>
        <v>503300903800</v>
      </c>
      <c r="V168" s="4" t="str">
        <f>HYPERLINK("http://141.218.60.56/~jnz1568/getInfo.php?workbook=11_01.xlsx&amp;sheet=A0&amp;row=168&amp;col=22&amp;number=503300000000&amp;sourceID=30","503300000000")</f>
        <v>503300000000</v>
      </c>
      <c r="W168" s="4" t="str">
        <f>HYPERLINK("http://141.218.60.56/~jnz1568/getInfo.php?workbook=11_01.xlsx&amp;sheet=A0&amp;row=168&amp;col=23&amp;number=&amp;sourceID=30","")</f>
        <v/>
      </c>
      <c r="X168" s="4" t="str">
        <f>HYPERLINK("http://141.218.60.56/~jnz1568/getInfo.php?workbook=11_01.xlsx&amp;sheet=A0&amp;row=168&amp;col=24&amp;number=&amp;sourceID=30","")</f>
        <v/>
      </c>
      <c r="Y168" s="4" t="str">
        <f>HYPERLINK("http://141.218.60.56/~jnz1568/getInfo.php?workbook=11_01.xlsx&amp;sheet=A0&amp;row=168&amp;col=25&amp;number=903800&amp;sourceID=30","903800")</f>
        <v>903800</v>
      </c>
      <c r="Z168" s="4" t="str">
        <f>HYPERLINK("http://141.218.60.56/~jnz1568/getInfo.php?workbook=11_01.xlsx&amp;sheet=A0&amp;row=168&amp;col=26&amp;number=&amp;sourceID=13","")</f>
        <v/>
      </c>
      <c r="AA168" s="4" t="str">
        <f>HYPERLINK("http://141.218.60.56/~jnz1568/getInfo.php?workbook=11_01.xlsx&amp;sheet=A0&amp;row=168&amp;col=27&amp;number=&amp;sourceID=13","")</f>
        <v/>
      </c>
      <c r="AB168" s="4" t="str">
        <f>HYPERLINK("http://141.218.60.56/~jnz1568/getInfo.php?workbook=11_01.xlsx&amp;sheet=A0&amp;row=168&amp;col=28&amp;number=&amp;sourceID=13","")</f>
        <v/>
      </c>
      <c r="AC168" s="4" t="str">
        <f>HYPERLINK("http://141.218.60.56/~jnz1568/getInfo.php?workbook=11_01.xlsx&amp;sheet=A0&amp;row=168&amp;col=29&amp;number=&amp;sourceID=13","")</f>
        <v/>
      </c>
      <c r="AD168" s="4" t="str">
        <f>HYPERLINK("http://141.218.60.56/~jnz1568/getInfo.php?workbook=11_01.xlsx&amp;sheet=A0&amp;row=168&amp;col=30&amp;number=&amp;sourceID=13","")</f>
        <v/>
      </c>
      <c r="AE168" s="4" t="str">
        <f>HYPERLINK("http://141.218.60.56/~jnz1568/getInfo.php?workbook=11_01.xlsx&amp;sheet=A0&amp;row=168&amp;col=31&amp;number=&amp;sourceID=13","")</f>
        <v/>
      </c>
    </row>
    <row r="169" spans="1:31">
      <c r="A169" s="3">
        <v>11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HYPERLINK("http://141.218.60.56/~jnz1568/getInfo.php?workbook=11_01.xlsx&amp;sheet=A0&amp;row=169&amp;col=6&amp;number=&amp;sourceID=18","")</f>
        <v/>
      </c>
      <c r="G169" s="4" t="str">
        <f>HYPERLINK("http://141.218.60.56/~jnz1568/getInfo.php?workbook=11_01.xlsx&amp;sheet=A0&amp;row=169&amp;col=7&amp;number==&amp;sourceID=11","=")</f>
        <v>=</v>
      </c>
      <c r="H169" s="4" t="str">
        <f>HYPERLINK("http://141.218.60.56/~jnz1568/getInfo.php?workbook=11_01.xlsx&amp;sheet=A0&amp;row=169&amp;col=8&amp;number=&amp;sourceID=11","")</f>
        <v/>
      </c>
      <c r="I169" s="4" t="str">
        <f>HYPERLINK("http://141.218.60.56/~jnz1568/getInfo.php?workbook=11_01.xlsx&amp;sheet=A0&amp;row=169&amp;col=9&amp;number=4691700&amp;sourceID=11","4691700")</f>
        <v>4691700</v>
      </c>
      <c r="J169" s="4" t="str">
        <f>HYPERLINK("http://141.218.60.56/~jnz1568/getInfo.php?workbook=11_01.xlsx&amp;sheet=A0&amp;row=169&amp;col=10&amp;number=&amp;sourceID=11","")</f>
        <v/>
      </c>
      <c r="K169" s="4" t="str">
        <f>HYPERLINK("http://141.218.60.56/~jnz1568/getInfo.php?workbook=11_01.xlsx&amp;sheet=A0&amp;row=169&amp;col=11&amp;number=25.078&amp;sourceID=11","25.078")</f>
        <v>25.078</v>
      </c>
      <c r="L169" s="4" t="str">
        <f>HYPERLINK("http://141.218.60.56/~jnz1568/getInfo.php?workbook=11_01.xlsx&amp;sheet=A0&amp;row=169&amp;col=12&amp;number=&amp;sourceID=11","")</f>
        <v/>
      </c>
      <c r="M169" s="4" t="str">
        <f>HYPERLINK("http://141.218.60.56/~jnz1568/getInfo.php?workbook=11_01.xlsx&amp;sheet=A0&amp;row=169&amp;col=13&amp;number=&amp;sourceID=11","")</f>
        <v/>
      </c>
      <c r="N169" s="4" t="str">
        <f>HYPERLINK("http://141.218.60.56/~jnz1568/getInfo.php?workbook=11_01.xlsx&amp;sheet=A0&amp;row=169&amp;col=14&amp;number=4691800&amp;sourceID=12","4691800")</f>
        <v>4691800</v>
      </c>
      <c r="O169" s="4" t="str">
        <f>HYPERLINK("http://141.218.60.56/~jnz1568/getInfo.php?workbook=11_01.xlsx&amp;sheet=A0&amp;row=169&amp;col=15&amp;number=&amp;sourceID=12","")</f>
        <v/>
      </c>
      <c r="P169" s="4" t="str">
        <f>HYPERLINK("http://141.218.60.56/~jnz1568/getInfo.php?workbook=11_01.xlsx&amp;sheet=A0&amp;row=169&amp;col=16&amp;number=4691800&amp;sourceID=12","4691800")</f>
        <v>4691800</v>
      </c>
      <c r="Q169" s="4" t="str">
        <f>HYPERLINK("http://141.218.60.56/~jnz1568/getInfo.php?workbook=11_01.xlsx&amp;sheet=A0&amp;row=169&amp;col=17&amp;number=&amp;sourceID=12","")</f>
        <v/>
      </c>
      <c r="R169" s="4" t="str">
        <f>HYPERLINK("http://141.218.60.56/~jnz1568/getInfo.php?workbook=11_01.xlsx&amp;sheet=A0&amp;row=169&amp;col=18&amp;number=25.08&amp;sourceID=12","25.08")</f>
        <v>25.08</v>
      </c>
      <c r="S169" s="4" t="str">
        <f>HYPERLINK("http://141.218.60.56/~jnz1568/getInfo.php?workbook=11_01.xlsx&amp;sheet=A0&amp;row=169&amp;col=19&amp;number=&amp;sourceID=12","")</f>
        <v/>
      </c>
      <c r="T169" s="4" t="str">
        <f>HYPERLINK("http://141.218.60.56/~jnz1568/getInfo.php?workbook=11_01.xlsx&amp;sheet=A0&amp;row=169&amp;col=20&amp;number=&amp;sourceID=12","")</f>
        <v/>
      </c>
      <c r="U169" s="4" t="str">
        <f>HYPERLINK("http://141.218.60.56/~jnz1568/getInfo.php?workbook=11_01.xlsx&amp;sheet=A0&amp;row=169&amp;col=21&amp;number=4692025.08&amp;sourceID=30","4692025.08")</f>
        <v>4692025.08</v>
      </c>
      <c r="V169" s="4" t="str">
        <f>HYPERLINK("http://141.218.60.56/~jnz1568/getInfo.php?workbook=11_01.xlsx&amp;sheet=A0&amp;row=169&amp;col=22&amp;number=&amp;sourceID=30","")</f>
        <v/>
      </c>
      <c r="W169" s="4" t="str">
        <f>HYPERLINK("http://141.218.60.56/~jnz1568/getInfo.php?workbook=11_01.xlsx&amp;sheet=A0&amp;row=169&amp;col=23&amp;number=4692000&amp;sourceID=30","4692000")</f>
        <v>4692000</v>
      </c>
      <c r="X169" s="4" t="str">
        <f>HYPERLINK("http://141.218.60.56/~jnz1568/getInfo.php?workbook=11_01.xlsx&amp;sheet=A0&amp;row=169&amp;col=24&amp;number=25.08&amp;sourceID=30","25.08")</f>
        <v>25.08</v>
      </c>
      <c r="Y169" s="4" t="str">
        <f>HYPERLINK("http://141.218.60.56/~jnz1568/getInfo.php?workbook=11_01.xlsx&amp;sheet=A0&amp;row=169&amp;col=25&amp;number=&amp;sourceID=30","")</f>
        <v/>
      </c>
      <c r="Z169" s="4" t="str">
        <f>HYPERLINK("http://141.218.60.56/~jnz1568/getInfo.php?workbook=11_01.xlsx&amp;sheet=A0&amp;row=169&amp;col=26&amp;number=&amp;sourceID=13","")</f>
        <v/>
      </c>
      <c r="AA169" s="4" t="str">
        <f>HYPERLINK("http://141.218.60.56/~jnz1568/getInfo.php?workbook=11_01.xlsx&amp;sheet=A0&amp;row=169&amp;col=27&amp;number=&amp;sourceID=13","")</f>
        <v/>
      </c>
      <c r="AB169" s="4" t="str">
        <f>HYPERLINK("http://141.218.60.56/~jnz1568/getInfo.php?workbook=11_01.xlsx&amp;sheet=A0&amp;row=169&amp;col=28&amp;number=&amp;sourceID=13","")</f>
        <v/>
      </c>
      <c r="AC169" s="4" t="str">
        <f>HYPERLINK("http://141.218.60.56/~jnz1568/getInfo.php?workbook=11_01.xlsx&amp;sheet=A0&amp;row=169&amp;col=29&amp;number=&amp;sourceID=13","")</f>
        <v/>
      </c>
      <c r="AD169" s="4" t="str">
        <f>HYPERLINK("http://141.218.60.56/~jnz1568/getInfo.php?workbook=11_01.xlsx&amp;sheet=A0&amp;row=169&amp;col=30&amp;number=&amp;sourceID=13","")</f>
        <v/>
      </c>
      <c r="AE169" s="4" t="str">
        <f>HYPERLINK("http://141.218.60.56/~jnz1568/getInfo.php?workbook=11_01.xlsx&amp;sheet=A0&amp;row=169&amp;col=31&amp;number=&amp;sourceID=13","")</f>
        <v/>
      </c>
    </row>
    <row r="170" spans="1:31">
      <c r="A170" s="3">
        <v>11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HYPERLINK("http://141.218.60.56/~jnz1568/getInfo.php?workbook=11_01.xlsx&amp;sheet=A0&amp;row=170&amp;col=6&amp;number=&amp;sourceID=18","")</f>
        <v/>
      </c>
      <c r="G170" s="4" t="str">
        <f>HYPERLINK("http://141.218.60.56/~jnz1568/getInfo.php?workbook=11_01.xlsx&amp;sheet=A0&amp;row=170&amp;col=7&amp;number==&amp;sourceID=11","=")</f>
        <v>=</v>
      </c>
      <c r="H170" s="4" t="str">
        <f>HYPERLINK("http://141.218.60.56/~jnz1568/getInfo.php?workbook=11_01.xlsx&amp;sheet=A0&amp;row=170&amp;col=8&amp;number=72501000000&amp;sourceID=11","72501000000")</f>
        <v>72501000000</v>
      </c>
      <c r="I170" s="4" t="str">
        <f>HYPERLINK("http://141.218.60.56/~jnz1568/getInfo.php?workbook=11_01.xlsx&amp;sheet=A0&amp;row=170&amp;col=9&amp;number=&amp;sourceID=11","")</f>
        <v/>
      </c>
      <c r="J170" s="4" t="str">
        <f>HYPERLINK("http://141.218.60.56/~jnz1568/getInfo.php?workbook=11_01.xlsx&amp;sheet=A0&amp;row=170&amp;col=10&amp;number=&amp;sourceID=11","")</f>
        <v/>
      </c>
      <c r="K170" s="4" t="str">
        <f>HYPERLINK("http://141.218.60.56/~jnz1568/getInfo.php?workbook=11_01.xlsx&amp;sheet=A0&amp;row=170&amp;col=11&amp;number=&amp;sourceID=11","")</f>
        <v/>
      </c>
      <c r="L170" s="4" t="str">
        <f>HYPERLINK("http://141.218.60.56/~jnz1568/getInfo.php?workbook=11_01.xlsx&amp;sheet=A0&amp;row=170&amp;col=12&amp;number=6249.3&amp;sourceID=11","6249.3")</f>
        <v>6249.3</v>
      </c>
      <c r="M170" s="4" t="str">
        <f>HYPERLINK("http://141.218.60.56/~jnz1568/getInfo.php?workbook=11_01.xlsx&amp;sheet=A0&amp;row=170&amp;col=13&amp;number=&amp;sourceID=11","")</f>
        <v/>
      </c>
      <c r="N170" s="4" t="str">
        <f>HYPERLINK("http://141.218.60.56/~jnz1568/getInfo.php?workbook=11_01.xlsx&amp;sheet=A0&amp;row=170&amp;col=14&amp;number=72503000000&amp;sourceID=12","72503000000")</f>
        <v>72503000000</v>
      </c>
      <c r="O170" s="4" t="str">
        <f>HYPERLINK("http://141.218.60.56/~jnz1568/getInfo.php?workbook=11_01.xlsx&amp;sheet=A0&amp;row=170&amp;col=15&amp;number=72503000000&amp;sourceID=12","72503000000")</f>
        <v>72503000000</v>
      </c>
      <c r="P170" s="4" t="str">
        <f>HYPERLINK("http://141.218.60.56/~jnz1568/getInfo.php?workbook=11_01.xlsx&amp;sheet=A0&amp;row=170&amp;col=16&amp;number=&amp;sourceID=12","")</f>
        <v/>
      </c>
      <c r="Q170" s="4" t="str">
        <f>HYPERLINK("http://141.218.60.56/~jnz1568/getInfo.php?workbook=11_01.xlsx&amp;sheet=A0&amp;row=170&amp;col=17&amp;number=&amp;sourceID=12","")</f>
        <v/>
      </c>
      <c r="R170" s="4" t="str">
        <f>HYPERLINK("http://141.218.60.56/~jnz1568/getInfo.php?workbook=11_01.xlsx&amp;sheet=A0&amp;row=170&amp;col=18&amp;number=&amp;sourceID=12","")</f>
        <v/>
      </c>
      <c r="S170" s="4" t="str">
        <f>HYPERLINK("http://141.218.60.56/~jnz1568/getInfo.php?workbook=11_01.xlsx&amp;sheet=A0&amp;row=170&amp;col=19&amp;number=6249.4&amp;sourceID=12","6249.4")</f>
        <v>6249.4</v>
      </c>
      <c r="T170" s="4" t="str">
        <f>HYPERLINK("http://141.218.60.56/~jnz1568/getInfo.php?workbook=11_01.xlsx&amp;sheet=A0&amp;row=170&amp;col=20&amp;number=&amp;sourceID=12","")</f>
        <v/>
      </c>
      <c r="U170" s="4" t="str">
        <f>HYPERLINK("http://141.218.60.56/~jnz1568/getInfo.php?workbook=11_01.xlsx&amp;sheet=A0&amp;row=170&amp;col=21&amp;number=72500006249&amp;sourceID=30","72500006249")</f>
        <v>72500006249</v>
      </c>
      <c r="V170" s="4" t="str">
        <f>HYPERLINK("http://141.218.60.56/~jnz1568/getInfo.php?workbook=11_01.xlsx&amp;sheet=A0&amp;row=170&amp;col=22&amp;number=72500000000&amp;sourceID=30","72500000000")</f>
        <v>72500000000</v>
      </c>
      <c r="W170" s="4" t="str">
        <f>HYPERLINK("http://141.218.60.56/~jnz1568/getInfo.php?workbook=11_01.xlsx&amp;sheet=A0&amp;row=170&amp;col=23&amp;number=&amp;sourceID=30","")</f>
        <v/>
      </c>
      <c r="X170" s="4" t="str">
        <f>HYPERLINK("http://141.218.60.56/~jnz1568/getInfo.php?workbook=11_01.xlsx&amp;sheet=A0&amp;row=170&amp;col=24&amp;number=&amp;sourceID=30","")</f>
        <v/>
      </c>
      <c r="Y170" s="4" t="str">
        <f>HYPERLINK("http://141.218.60.56/~jnz1568/getInfo.php?workbook=11_01.xlsx&amp;sheet=A0&amp;row=170&amp;col=25&amp;number=6249&amp;sourceID=30","6249")</f>
        <v>6249</v>
      </c>
      <c r="Z170" s="4" t="str">
        <f>HYPERLINK("http://141.218.60.56/~jnz1568/getInfo.php?workbook=11_01.xlsx&amp;sheet=A0&amp;row=170&amp;col=26&amp;number=&amp;sourceID=13","")</f>
        <v/>
      </c>
      <c r="AA170" s="4" t="str">
        <f>HYPERLINK("http://141.218.60.56/~jnz1568/getInfo.php?workbook=11_01.xlsx&amp;sheet=A0&amp;row=170&amp;col=27&amp;number=&amp;sourceID=13","")</f>
        <v/>
      </c>
      <c r="AB170" s="4" t="str">
        <f>HYPERLINK("http://141.218.60.56/~jnz1568/getInfo.php?workbook=11_01.xlsx&amp;sheet=A0&amp;row=170&amp;col=28&amp;number=&amp;sourceID=13","")</f>
        <v/>
      </c>
      <c r="AC170" s="4" t="str">
        <f>HYPERLINK("http://141.218.60.56/~jnz1568/getInfo.php?workbook=11_01.xlsx&amp;sheet=A0&amp;row=170&amp;col=29&amp;number=&amp;sourceID=13","")</f>
        <v/>
      </c>
      <c r="AD170" s="4" t="str">
        <f>HYPERLINK("http://141.218.60.56/~jnz1568/getInfo.php?workbook=11_01.xlsx&amp;sheet=A0&amp;row=170&amp;col=30&amp;number=&amp;sourceID=13","")</f>
        <v/>
      </c>
      <c r="AE170" s="4" t="str">
        <f>HYPERLINK("http://141.218.60.56/~jnz1568/getInfo.php?workbook=11_01.xlsx&amp;sheet=A0&amp;row=170&amp;col=31&amp;number=&amp;sourceID=13","")</f>
        <v/>
      </c>
    </row>
    <row r="171" spans="1:31">
      <c r="A171" s="3">
        <v>11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HYPERLINK("http://141.218.60.56/~jnz1568/getInfo.php?workbook=11_01.xlsx&amp;sheet=A0&amp;row=171&amp;col=6&amp;number=&amp;sourceID=18","")</f>
        <v/>
      </c>
      <c r="G171" s="4" t="str">
        <f>HYPERLINK("http://141.218.60.56/~jnz1568/getInfo.php?workbook=11_01.xlsx&amp;sheet=A0&amp;row=171&amp;col=7&amp;number==&amp;sourceID=11","=")</f>
        <v>=</v>
      </c>
      <c r="H171" s="4" t="str">
        <f>HYPERLINK("http://141.218.60.56/~jnz1568/getInfo.php?workbook=11_01.xlsx&amp;sheet=A0&amp;row=171&amp;col=8&amp;number=&amp;sourceID=11","")</f>
        <v/>
      </c>
      <c r="I171" s="4" t="str">
        <f>HYPERLINK("http://141.218.60.56/~jnz1568/getInfo.php?workbook=11_01.xlsx&amp;sheet=A0&amp;row=171&amp;col=9&amp;number=4662800&amp;sourceID=11","4662800")</f>
        <v>4662800</v>
      </c>
      <c r="J171" s="4" t="str">
        <f>HYPERLINK("http://141.218.60.56/~jnz1568/getInfo.php?workbook=11_01.xlsx&amp;sheet=A0&amp;row=171&amp;col=10&amp;number=&amp;sourceID=11","")</f>
        <v/>
      </c>
      <c r="K171" s="4" t="str">
        <f>HYPERLINK("http://141.218.60.56/~jnz1568/getInfo.php?workbook=11_01.xlsx&amp;sheet=A0&amp;row=171&amp;col=11&amp;number=46.224&amp;sourceID=11","46.224")</f>
        <v>46.224</v>
      </c>
      <c r="L171" s="4" t="str">
        <f>HYPERLINK("http://141.218.60.56/~jnz1568/getInfo.php?workbook=11_01.xlsx&amp;sheet=A0&amp;row=171&amp;col=12&amp;number=&amp;sourceID=11","")</f>
        <v/>
      </c>
      <c r="M171" s="4" t="str">
        <f>HYPERLINK("http://141.218.60.56/~jnz1568/getInfo.php?workbook=11_01.xlsx&amp;sheet=A0&amp;row=171&amp;col=13&amp;number=0.85419&amp;sourceID=11","0.85419")</f>
        <v>0.85419</v>
      </c>
      <c r="N171" s="4" t="str">
        <f>HYPERLINK("http://141.218.60.56/~jnz1568/getInfo.php?workbook=11_01.xlsx&amp;sheet=A0&amp;row=171&amp;col=14&amp;number=4662900&amp;sourceID=12","4662900")</f>
        <v>4662900</v>
      </c>
      <c r="O171" s="4" t="str">
        <f>HYPERLINK("http://141.218.60.56/~jnz1568/getInfo.php?workbook=11_01.xlsx&amp;sheet=A0&amp;row=171&amp;col=15&amp;number=&amp;sourceID=12","")</f>
        <v/>
      </c>
      <c r="P171" s="4" t="str">
        <f>HYPERLINK("http://141.218.60.56/~jnz1568/getInfo.php?workbook=11_01.xlsx&amp;sheet=A0&amp;row=171&amp;col=16&amp;number=4662900&amp;sourceID=12","4662900")</f>
        <v>4662900</v>
      </c>
      <c r="Q171" s="4" t="str">
        <f>HYPERLINK("http://141.218.60.56/~jnz1568/getInfo.php?workbook=11_01.xlsx&amp;sheet=A0&amp;row=171&amp;col=17&amp;number=&amp;sourceID=12","")</f>
        <v/>
      </c>
      <c r="R171" s="4" t="str">
        <f>HYPERLINK("http://141.218.60.56/~jnz1568/getInfo.php?workbook=11_01.xlsx&amp;sheet=A0&amp;row=171&amp;col=18&amp;number=46.224&amp;sourceID=12","46.224")</f>
        <v>46.224</v>
      </c>
      <c r="S171" s="4" t="str">
        <f>HYPERLINK("http://141.218.60.56/~jnz1568/getInfo.php?workbook=11_01.xlsx&amp;sheet=A0&amp;row=171&amp;col=19&amp;number=&amp;sourceID=12","")</f>
        <v/>
      </c>
      <c r="T171" s="4" t="str">
        <f>HYPERLINK("http://141.218.60.56/~jnz1568/getInfo.php?workbook=11_01.xlsx&amp;sheet=A0&amp;row=171&amp;col=20&amp;number=0.85421&amp;sourceID=12","0.85421")</f>
        <v>0.85421</v>
      </c>
      <c r="U171" s="4" t="str">
        <f>HYPERLINK("http://141.218.60.56/~jnz1568/getInfo.php?workbook=11_01.xlsx&amp;sheet=A0&amp;row=171&amp;col=21&amp;number=4663046.22&amp;sourceID=30","4663046.22")</f>
        <v>4663046.22</v>
      </c>
      <c r="V171" s="4" t="str">
        <f>HYPERLINK("http://141.218.60.56/~jnz1568/getInfo.php?workbook=11_01.xlsx&amp;sheet=A0&amp;row=171&amp;col=22&amp;number=&amp;sourceID=30","")</f>
        <v/>
      </c>
      <c r="W171" s="4" t="str">
        <f>HYPERLINK("http://141.218.60.56/~jnz1568/getInfo.php?workbook=11_01.xlsx&amp;sheet=A0&amp;row=171&amp;col=23&amp;number=4663000&amp;sourceID=30","4663000")</f>
        <v>4663000</v>
      </c>
      <c r="X171" s="4" t="str">
        <f>HYPERLINK("http://141.218.60.56/~jnz1568/getInfo.php?workbook=11_01.xlsx&amp;sheet=A0&amp;row=171&amp;col=24&amp;number=46.22&amp;sourceID=30","46.22")</f>
        <v>46.22</v>
      </c>
      <c r="Y171" s="4" t="str">
        <f>HYPERLINK("http://141.218.60.56/~jnz1568/getInfo.php?workbook=11_01.xlsx&amp;sheet=A0&amp;row=171&amp;col=25&amp;number=&amp;sourceID=30","")</f>
        <v/>
      </c>
      <c r="Z171" s="4" t="str">
        <f>HYPERLINK("http://141.218.60.56/~jnz1568/getInfo.php?workbook=11_01.xlsx&amp;sheet=A0&amp;row=171&amp;col=26&amp;number=&amp;sourceID=13","")</f>
        <v/>
      </c>
      <c r="AA171" s="4" t="str">
        <f>HYPERLINK("http://141.218.60.56/~jnz1568/getInfo.php?workbook=11_01.xlsx&amp;sheet=A0&amp;row=171&amp;col=27&amp;number=&amp;sourceID=13","")</f>
        <v/>
      </c>
      <c r="AB171" s="4" t="str">
        <f>HYPERLINK("http://141.218.60.56/~jnz1568/getInfo.php?workbook=11_01.xlsx&amp;sheet=A0&amp;row=171&amp;col=28&amp;number=&amp;sourceID=13","")</f>
        <v/>
      </c>
      <c r="AC171" s="4" t="str">
        <f>HYPERLINK("http://141.218.60.56/~jnz1568/getInfo.php?workbook=11_01.xlsx&amp;sheet=A0&amp;row=171&amp;col=29&amp;number=&amp;sourceID=13","")</f>
        <v/>
      </c>
      <c r="AD171" s="4" t="str">
        <f>HYPERLINK("http://141.218.60.56/~jnz1568/getInfo.php?workbook=11_01.xlsx&amp;sheet=A0&amp;row=171&amp;col=30&amp;number=&amp;sourceID=13","")</f>
        <v/>
      </c>
      <c r="AE171" s="4" t="str">
        <f>HYPERLINK("http://141.218.60.56/~jnz1568/getInfo.php?workbook=11_01.xlsx&amp;sheet=A0&amp;row=171&amp;col=31&amp;number=&amp;sourceID=13","")</f>
        <v/>
      </c>
    </row>
    <row r="172" spans="1:31">
      <c r="A172" s="3">
        <v>11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HYPERLINK("http://141.218.60.56/~jnz1568/getInfo.php?workbook=11_01.xlsx&amp;sheet=A0&amp;row=172&amp;col=6&amp;number=&amp;sourceID=18","")</f>
        <v/>
      </c>
      <c r="G172" s="4" t="str">
        <f>HYPERLINK("http://141.218.60.56/~jnz1568/getInfo.php?workbook=11_01.xlsx&amp;sheet=A0&amp;row=172&amp;col=7&amp;number==&amp;sourceID=11","=")</f>
        <v>=</v>
      </c>
      <c r="H172" s="4" t="str">
        <f>HYPERLINK("http://141.218.60.56/~jnz1568/getInfo.php?workbook=11_01.xlsx&amp;sheet=A0&amp;row=172&amp;col=8&amp;number=&amp;sourceID=11","")</f>
        <v/>
      </c>
      <c r="I172" s="4" t="str">
        <f>HYPERLINK("http://141.218.60.56/~jnz1568/getInfo.php?workbook=11_01.xlsx&amp;sheet=A0&amp;row=172&amp;col=9&amp;number=1271200&amp;sourceID=11","1271200")</f>
        <v>1271200</v>
      </c>
      <c r="J172" s="4" t="str">
        <f>HYPERLINK("http://141.218.60.56/~jnz1568/getInfo.php?workbook=11_01.xlsx&amp;sheet=A0&amp;row=172&amp;col=10&amp;number=&amp;sourceID=11","")</f>
        <v/>
      </c>
      <c r="K172" s="4" t="str">
        <f>HYPERLINK("http://141.218.60.56/~jnz1568/getInfo.php?workbook=11_01.xlsx&amp;sheet=A0&amp;row=172&amp;col=11&amp;number=3.5445&amp;sourceID=11","3.5445")</f>
        <v>3.5445</v>
      </c>
      <c r="L172" s="4" t="str">
        <f>HYPERLINK("http://141.218.60.56/~jnz1568/getInfo.php?workbook=11_01.xlsx&amp;sheet=A0&amp;row=172&amp;col=12&amp;number=&amp;sourceID=11","")</f>
        <v/>
      </c>
      <c r="M172" s="4" t="str">
        <f>HYPERLINK("http://141.218.60.56/~jnz1568/getInfo.php?workbook=11_01.xlsx&amp;sheet=A0&amp;row=172&amp;col=13&amp;number=&amp;sourceID=11","")</f>
        <v/>
      </c>
      <c r="N172" s="4" t="str">
        <f>HYPERLINK("http://141.218.60.56/~jnz1568/getInfo.php?workbook=11_01.xlsx&amp;sheet=A0&amp;row=172&amp;col=14&amp;number=1271300&amp;sourceID=12","1271300")</f>
        <v>1271300</v>
      </c>
      <c r="O172" s="4" t="str">
        <f>HYPERLINK("http://141.218.60.56/~jnz1568/getInfo.php?workbook=11_01.xlsx&amp;sheet=A0&amp;row=172&amp;col=15&amp;number=&amp;sourceID=12","")</f>
        <v/>
      </c>
      <c r="P172" s="4" t="str">
        <f>HYPERLINK("http://141.218.60.56/~jnz1568/getInfo.php?workbook=11_01.xlsx&amp;sheet=A0&amp;row=172&amp;col=16&amp;number=1271300&amp;sourceID=12","1271300")</f>
        <v>1271300</v>
      </c>
      <c r="Q172" s="4" t="str">
        <f>HYPERLINK("http://141.218.60.56/~jnz1568/getInfo.php?workbook=11_01.xlsx&amp;sheet=A0&amp;row=172&amp;col=17&amp;number=&amp;sourceID=12","")</f>
        <v/>
      </c>
      <c r="R172" s="4" t="str">
        <f>HYPERLINK("http://141.218.60.56/~jnz1568/getInfo.php?workbook=11_01.xlsx&amp;sheet=A0&amp;row=172&amp;col=18&amp;number=3.5446&amp;sourceID=12","3.5446")</f>
        <v>3.5446</v>
      </c>
      <c r="S172" s="4" t="str">
        <f>HYPERLINK("http://141.218.60.56/~jnz1568/getInfo.php?workbook=11_01.xlsx&amp;sheet=A0&amp;row=172&amp;col=19&amp;number=&amp;sourceID=12","")</f>
        <v/>
      </c>
      <c r="T172" s="4" t="str">
        <f>HYPERLINK("http://141.218.60.56/~jnz1568/getInfo.php?workbook=11_01.xlsx&amp;sheet=A0&amp;row=172&amp;col=20&amp;number=&amp;sourceID=12","")</f>
        <v/>
      </c>
      <c r="U172" s="4" t="str">
        <f>HYPERLINK("http://141.218.60.56/~jnz1568/getInfo.php?workbook=11_01.xlsx&amp;sheet=A0&amp;row=172&amp;col=21&amp;number=1271003.545&amp;sourceID=30","1271003.545")</f>
        <v>1271003.545</v>
      </c>
      <c r="V172" s="4" t="str">
        <f>HYPERLINK("http://141.218.60.56/~jnz1568/getInfo.php?workbook=11_01.xlsx&amp;sheet=A0&amp;row=172&amp;col=22&amp;number=&amp;sourceID=30","")</f>
        <v/>
      </c>
      <c r="W172" s="4" t="str">
        <f>HYPERLINK("http://141.218.60.56/~jnz1568/getInfo.php?workbook=11_01.xlsx&amp;sheet=A0&amp;row=172&amp;col=23&amp;number=1271000&amp;sourceID=30","1271000")</f>
        <v>1271000</v>
      </c>
      <c r="X172" s="4" t="str">
        <f>HYPERLINK("http://141.218.60.56/~jnz1568/getInfo.php?workbook=11_01.xlsx&amp;sheet=A0&amp;row=172&amp;col=24&amp;number=3.545&amp;sourceID=30","3.545")</f>
        <v>3.545</v>
      </c>
      <c r="Y172" s="4" t="str">
        <f>HYPERLINK("http://141.218.60.56/~jnz1568/getInfo.php?workbook=11_01.xlsx&amp;sheet=A0&amp;row=172&amp;col=25&amp;number=&amp;sourceID=30","")</f>
        <v/>
      </c>
      <c r="Z172" s="4" t="str">
        <f>HYPERLINK("http://141.218.60.56/~jnz1568/getInfo.php?workbook=11_01.xlsx&amp;sheet=A0&amp;row=172&amp;col=26&amp;number=&amp;sourceID=13","")</f>
        <v/>
      </c>
      <c r="AA172" s="4" t="str">
        <f>HYPERLINK("http://141.218.60.56/~jnz1568/getInfo.php?workbook=11_01.xlsx&amp;sheet=A0&amp;row=172&amp;col=27&amp;number=&amp;sourceID=13","")</f>
        <v/>
      </c>
      <c r="AB172" s="4" t="str">
        <f>HYPERLINK("http://141.218.60.56/~jnz1568/getInfo.php?workbook=11_01.xlsx&amp;sheet=A0&amp;row=172&amp;col=28&amp;number=&amp;sourceID=13","")</f>
        <v/>
      </c>
      <c r="AC172" s="4" t="str">
        <f>HYPERLINK("http://141.218.60.56/~jnz1568/getInfo.php?workbook=11_01.xlsx&amp;sheet=A0&amp;row=172&amp;col=29&amp;number=&amp;sourceID=13","")</f>
        <v/>
      </c>
      <c r="AD172" s="4" t="str">
        <f>HYPERLINK("http://141.218.60.56/~jnz1568/getInfo.php?workbook=11_01.xlsx&amp;sheet=A0&amp;row=172&amp;col=30&amp;number=&amp;sourceID=13","")</f>
        <v/>
      </c>
      <c r="AE172" s="4" t="str">
        <f>HYPERLINK("http://141.218.60.56/~jnz1568/getInfo.php?workbook=11_01.xlsx&amp;sheet=A0&amp;row=172&amp;col=31&amp;number=&amp;sourceID=13","")</f>
        <v/>
      </c>
    </row>
    <row r="173" spans="1:31">
      <c r="A173" s="3">
        <v>11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HYPERLINK("http://141.218.60.56/~jnz1568/getInfo.php?workbook=11_01.xlsx&amp;sheet=A0&amp;row=173&amp;col=6&amp;number=&amp;sourceID=18","")</f>
        <v/>
      </c>
      <c r="G173" s="4" t="str">
        <f>HYPERLINK("http://141.218.60.56/~jnz1568/getInfo.php?workbook=11_01.xlsx&amp;sheet=A0&amp;row=173&amp;col=7&amp;number==&amp;sourceID=11","=")</f>
        <v>=</v>
      </c>
      <c r="H173" s="4" t="str">
        <f>HYPERLINK("http://141.218.60.56/~jnz1568/getInfo.php?workbook=11_01.xlsx&amp;sheet=A0&amp;row=173&amp;col=8&amp;number=23950000000&amp;sourceID=11","23950000000")</f>
        <v>23950000000</v>
      </c>
      <c r="I173" s="4" t="str">
        <f>HYPERLINK("http://141.218.60.56/~jnz1568/getInfo.php?workbook=11_01.xlsx&amp;sheet=A0&amp;row=173&amp;col=9&amp;number=&amp;sourceID=11","")</f>
        <v/>
      </c>
      <c r="J173" s="4" t="str">
        <f>HYPERLINK("http://141.218.60.56/~jnz1568/getInfo.php?workbook=11_01.xlsx&amp;sheet=A0&amp;row=173&amp;col=10&amp;number=&amp;sourceID=11","")</f>
        <v/>
      </c>
      <c r="K173" s="4" t="str">
        <f>HYPERLINK("http://141.218.60.56/~jnz1568/getInfo.php?workbook=11_01.xlsx&amp;sheet=A0&amp;row=173&amp;col=11&amp;number=&amp;sourceID=11","")</f>
        <v/>
      </c>
      <c r="L173" s="4" t="str">
        <f>HYPERLINK("http://141.218.60.56/~jnz1568/getInfo.php?workbook=11_01.xlsx&amp;sheet=A0&amp;row=173&amp;col=12&amp;number=236.77&amp;sourceID=11","236.77")</f>
        <v>236.77</v>
      </c>
      <c r="M173" s="4" t="str">
        <f>HYPERLINK("http://141.218.60.56/~jnz1568/getInfo.php?workbook=11_01.xlsx&amp;sheet=A0&amp;row=173&amp;col=13&amp;number=&amp;sourceID=11","")</f>
        <v/>
      </c>
      <c r="N173" s="4" t="str">
        <f>HYPERLINK("http://141.218.60.56/~jnz1568/getInfo.php?workbook=11_01.xlsx&amp;sheet=A0&amp;row=173&amp;col=14&amp;number=23951000000&amp;sourceID=12","23951000000")</f>
        <v>23951000000</v>
      </c>
      <c r="O173" s="4" t="str">
        <f>HYPERLINK("http://141.218.60.56/~jnz1568/getInfo.php?workbook=11_01.xlsx&amp;sheet=A0&amp;row=173&amp;col=15&amp;number=23951000000&amp;sourceID=12","23951000000")</f>
        <v>23951000000</v>
      </c>
      <c r="P173" s="4" t="str">
        <f>HYPERLINK("http://141.218.60.56/~jnz1568/getInfo.php?workbook=11_01.xlsx&amp;sheet=A0&amp;row=173&amp;col=16&amp;number=&amp;sourceID=12","")</f>
        <v/>
      </c>
      <c r="Q173" s="4" t="str">
        <f>HYPERLINK("http://141.218.60.56/~jnz1568/getInfo.php?workbook=11_01.xlsx&amp;sheet=A0&amp;row=173&amp;col=17&amp;number=&amp;sourceID=12","")</f>
        <v/>
      </c>
      <c r="R173" s="4" t="str">
        <f>HYPERLINK("http://141.218.60.56/~jnz1568/getInfo.php?workbook=11_01.xlsx&amp;sheet=A0&amp;row=173&amp;col=18&amp;number=&amp;sourceID=12","")</f>
        <v/>
      </c>
      <c r="S173" s="4" t="str">
        <f>HYPERLINK("http://141.218.60.56/~jnz1568/getInfo.php?workbook=11_01.xlsx&amp;sheet=A0&amp;row=173&amp;col=19&amp;number=236.77&amp;sourceID=12","236.77")</f>
        <v>236.77</v>
      </c>
      <c r="T173" s="4" t="str">
        <f>HYPERLINK("http://141.218.60.56/~jnz1568/getInfo.php?workbook=11_01.xlsx&amp;sheet=A0&amp;row=173&amp;col=20&amp;number=&amp;sourceID=12","")</f>
        <v/>
      </c>
      <c r="U173" s="4" t="str">
        <f>HYPERLINK("http://141.218.60.56/~jnz1568/getInfo.php?workbook=11_01.xlsx&amp;sheet=A0&amp;row=173&amp;col=21&amp;number=23950000236.8&amp;sourceID=30","23950000236.8")</f>
        <v>23950000236.8</v>
      </c>
      <c r="V173" s="4" t="str">
        <f>HYPERLINK("http://141.218.60.56/~jnz1568/getInfo.php?workbook=11_01.xlsx&amp;sheet=A0&amp;row=173&amp;col=22&amp;number=23950000000&amp;sourceID=30","23950000000")</f>
        <v>23950000000</v>
      </c>
      <c r="W173" s="4" t="str">
        <f>HYPERLINK("http://141.218.60.56/~jnz1568/getInfo.php?workbook=11_01.xlsx&amp;sheet=A0&amp;row=173&amp;col=23&amp;number=&amp;sourceID=30","")</f>
        <v/>
      </c>
      <c r="X173" s="4" t="str">
        <f>HYPERLINK("http://141.218.60.56/~jnz1568/getInfo.php?workbook=11_01.xlsx&amp;sheet=A0&amp;row=173&amp;col=24&amp;number=&amp;sourceID=30","")</f>
        <v/>
      </c>
      <c r="Y173" s="4" t="str">
        <f>HYPERLINK("http://141.218.60.56/~jnz1568/getInfo.php?workbook=11_01.xlsx&amp;sheet=A0&amp;row=173&amp;col=25&amp;number=236.8&amp;sourceID=30","236.8")</f>
        <v>236.8</v>
      </c>
      <c r="Z173" s="4" t="str">
        <f>HYPERLINK("http://141.218.60.56/~jnz1568/getInfo.php?workbook=11_01.xlsx&amp;sheet=A0&amp;row=173&amp;col=26&amp;number=&amp;sourceID=13","")</f>
        <v/>
      </c>
      <c r="AA173" s="4" t="str">
        <f>HYPERLINK("http://141.218.60.56/~jnz1568/getInfo.php?workbook=11_01.xlsx&amp;sheet=A0&amp;row=173&amp;col=27&amp;number=&amp;sourceID=13","")</f>
        <v/>
      </c>
      <c r="AB173" s="4" t="str">
        <f>HYPERLINK("http://141.218.60.56/~jnz1568/getInfo.php?workbook=11_01.xlsx&amp;sheet=A0&amp;row=173&amp;col=28&amp;number=&amp;sourceID=13","")</f>
        <v/>
      </c>
      <c r="AC173" s="4" t="str">
        <f>HYPERLINK("http://141.218.60.56/~jnz1568/getInfo.php?workbook=11_01.xlsx&amp;sheet=A0&amp;row=173&amp;col=29&amp;number=&amp;sourceID=13","")</f>
        <v/>
      </c>
      <c r="AD173" s="4" t="str">
        <f>HYPERLINK("http://141.218.60.56/~jnz1568/getInfo.php?workbook=11_01.xlsx&amp;sheet=A0&amp;row=173&amp;col=30&amp;number=&amp;sourceID=13","")</f>
        <v/>
      </c>
      <c r="AE173" s="4" t="str">
        <f>HYPERLINK("http://141.218.60.56/~jnz1568/getInfo.php?workbook=11_01.xlsx&amp;sheet=A0&amp;row=173&amp;col=31&amp;number=&amp;sourceID=13","")</f>
        <v/>
      </c>
    </row>
    <row r="174" spans="1:31">
      <c r="A174" s="3">
        <v>11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HYPERLINK("http://141.218.60.56/~jnz1568/getInfo.php?workbook=11_01.xlsx&amp;sheet=A0&amp;row=174&amp;col=6&amp;number=&amp;sourceID=18","")</f>
        <v/>
      </c>
      <c r="G174" s="4" t="str">
        <f>HYPERLINK("http://141.218.60.56/~jnz1568/getInfo.php?workbook=11_01.xlsx&amp;sheet=A0&amp;row=174&amp;col=7&amp;number==&amp;sourceID=11","=")</f>
        <v>=</v>
      </c>
      <c r="H174" s="4" t="str">
        <f>HYPERLINK("http://141.218.60.56/~jnz1568/getInfo.php?workbook=11_01.xlsx&amp;sheet=A0&amp;row=174&amp;col=8&amp;number=219370000&amp;sourceID=11","219370000")</f>
        <v>219370000</v>
      </c>
      <c r="I174" s="4" t="str">
        <f>HYPERLINK("http://141.218.60.56/~jnz1568/getInfo.php?workbook=11_01.xlsx&amp;sheet=A0&amp;row=174&amp;col=9&amp;number=&amp;sourceID=11","")</f>
        <v/>
      </c>
      <c r="J174" s="4" t="str">
        <f>HYPERLINK("http://141.218.60.56/~jnz1568/getInfo.php?workbook=11_01.xlsx&amp;sheet=A0&amp;row=174&amp;col=10&amp;number=29.13&amp;sourceID=11","29.13")</f>
        <v>29.13</v>
      </c>
      <c r="K174" s="4" t="str">
        <f>HYPERLINK("http://141.218.60.56/~jnz1568/getInfo.php?workbook=11_01.xlsx&amp;sheet=A0&amp;row=174&amp;col=11&amp;number=&amp;sourceID=11","")</f>
        <v/>
      </c>
      <c r="L174" s="4" t="str">
        <f>HYPERLINK("http://141.218.60.56/~jnz1568/getInfo.php?workbook=11_01.xlsx&amp;sheet=A0&amp;row=174&amp;col=12&amp;number=&amp;sourceID=11","")</f>
        <v/>
      </c>
      <c r="M174" s="4" t="str">
        <f>HYPERLINK("http://141.218.60.56/~jnz1568/getInfo.php?workbook=11_01.xlsx&amp;sheet=A0&amp;row=174&amp;col=13&amp;number=&amp;sourceID=11","")</f>
        <v/>
      </c>
      <c r="N174" s="4" t="str">
        <f>HYPERLINK("http://141.218.60.56/~jnz1568/getInfo.php?workbook=11_01.xlsx&amp;sheet=A0&amp;row=174&amp;col=14&amp;number=219380000&amp;sourceID=12","219380000")</f>
        <v>219380000</v>
      </c>
      <c r="O174" s="4" t="str">
        <f>HYPERLINK("http://141.218.60.56/~jnz1568/getInfo.php?workbook=11_01.xlsx&amp;sheet=A0&amp;row=174&amp;col=15&amp;number=219380000&amp;sourceID=12","219380000")</f>
        <v>219380000</v>
      </c>
      <c r="P174" s="4" t="str">
        <f>HYPERLINK("http://141.218.60.56/~jnz1568/getInfo.php?workbook=11_01.xlsx&amp;sheet=A0&amp;row=174&amp;col=16&amp;number=&amp;sourceID=12","")</f>
        <v/>
      </c>
      <c r="Q174" s="4" t="str">
        <f>HYPERLINK("http://141.218.60.56/~jnz1568/getInfo.php?workbook=11_01.xlsx&amp;sheet=A0&amp;row=174&amp;col=17&amp;number=29.131&amp;sourceID=12","29.131")</f>
        <v>29.131</v>
      </c>
      <c r="R174" s="4" t="str">
        <f>HYPERLINK("http://141.218.60.56/~jnz1568/getInfo.php?workbook=11_01.xlsx&amp;sheet=A0&amp;row=174&amp;col=18&amp;number=&amp;sourceID=12","")</f>
        <v/>
      </c>
      <c r="S174" s="4" t="str">
        <f>HYPERLINK("http://141.218.60.56/~jnz1568/getInfo.php?workbook=11_01.xlsx&amp;sheet=A0&amp;row=174&amp;col=19&amp;number=&amp;sourceID=12","")</f>
        <v/>
      </c>
      <c r="T174" s="4" t="str">
        <f>HYPERLINK("http://141.218.60.56/~jnz1568/getInfo.php?workbook=11_01.xlsx&amp;sheet=A0&amp;row=174&amp;col=20&amp;number=&amp;sourceID=12","")</f>
        <v/>
      </c>
      <c r="U174" s="4" t="str">
        <f>HYPERLINK("http://141.218.60.56/~jnz1568/getInfo.php?workbook=11_01.xlsx&amp;sheet=A0&amp;row=174&amp;col=21&amp;number=219400000&amp;sourceID=30","219400000")</f>
        <v>219400000</v>
      </c>
      <c r="V174" s="4" t="str">
        <f>HYPERLINK("http://141.218.60.56/~jnz1568/getInfo.php?workbook=11_01.xlsx&amp;sheet=A0&amp;row=174&amp;col=22&amp;number=219400000&amp;sourceID=30","219400000")</f>
        <v>219400000</v>
      </c>
      <c r="W174" s="4" t="str">
        <f>HYPERLINK("http://141.218.60.56/~jnz1568/getInfo.php?workbook=11_01.xlsx&amp;sheet=A0&amp;row=174&amp;col=23&amp;number=&amp;sourceID=30","")</f>
        <v/>
      </c>
      <c r="X174" s="4" t="str">
        <f>HYPERLINK("http://141.218.60.56/~jnz1568/getInfo.php?workbook=11_01.xlsx&amp;sheet=A0&amp;row=174&amp;col=24&amp;number=&amp;sourceID=30","")</f>
        <v/>
      </c>
      <c r="Y174" s="4" t="str">
        <f>HYPERLINK("http://141.218.60.56/~jnz1568/getInfo.php?workbook=11_01.xlsx&amp;sheet=A0&amp;row=174&amp;col=25&amp;number=&amp;sourceID=30","")</f>
        <v/>
      </c>
      <c r="Z174" s="4" t="str">
        <f>HYPERLINK("http://141.218.60.56/~jnz1568/getInfo.php?workbook=11_01.xlsx&amp;sheet=A0&amp;row=174&amp;col=26&amp;number=&amp;sourceID=13","")</f>
        <v/>
      </c>
      <c r="AA174" s="4" t="str">
        <f>HYPERLINK("http://141.218.60.56/~jnz1568/getInfo.php?workbook=11_01.xlsx&amp;sheet=A0&amp;row=174&amp;col=27&amp;number=&amp;sourceID=13","")</f>
        <v/>
      </c>
      <c r="AB174" s="4" t="str">
        <f>HYPERLINK("http://141.218.60.56/~jnz1568/getInfo.php?workbook=11_01.xlsx&amp;sheet=A0&amp;row=174&amp;col=28&amp;number=&amp;sourceID=13","")</f>
        <v/>
      </c>
      <c r="AC174" s="4" t="str">
        <f>HYPERLINK("http://141.218.60.56/~jnz1568/getInfo.php?workbook=11_01.xlsx&amp;sheet=A0&amp;row=174&amp;col=29&amp;number=&amp;sourceID=13","")</f>
        <v/>
      </c>
      <c r="AD174" s="4" t="str">
        <f>HYPERLINK("http://141.218.60.56/~jnz1568/getInfo.php?workbook=11_01.xlsx&amp;sheet=A0&amp;row=174&amp;col=30&amp;number=&amp;sourceID=13","")</f>
        <v/>
      </c>
      <c r="AE174" s="4" t="str">
        <f>HYPERLINK("http://141.218.60.56/~jnz1568/getInfo.php?workbook=11_01.xlsx&amp;sheet=A0&amp;row=174&amp;col=31&amp;number=&amp;sourceID=13","")</f>
        <v/>
      </c>
    </row>
    <row r="175" spans="1:31">
      <c r="A175" s="3">
        <v>11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HYPERLINK("http://141.218.60.56/~jnz1568/getInfo.php?workbook=11_01.xlsx&amp;sheet=A0&amp;row=175&amp;col=6&amp;number=&amp;sourceID=18","")</f>
        <v/>
      </c>
      <c r="G175" s="4" t="str">
        <f>HYPERLINK("http://141.218.60.56/~jnz1568/getInfo.php?workbook=11_01.xlsx&amp;sheet=A0&amp;row=175&amp;col=7&amp;number==&amp;sourceID=11","=")</f>
        <v>=</v>
      </c>
      <c r="H175" s="4" t="str">
        <f>HYPERLINK("http://141.218.60.56/~jnz1568/getInfo.php?workbook=11_01.xlsx&amp;sheet=A0&amp;row=175&amp;col=8&amp;number=&amp;sourceID=11","")</f>
        <v/>
      </c>
      <c r="I175" s="4" t="str">
        <f>HYPERLINK("http://141.218.60.56/~jnz1568/getInfo.php?workbook=11_01.xlsx&amp;sheet=A0&amp;row=175&amp;col=9&amp;number=1265900&amp;sourceID=11","1265900")</f>
        <v>1265900</v>
      </c>
      <c r="J175" s="4" t="str">
        <f>HYPERLINK("http://141.218.60.56/~jnz1568/getInfo.php?workbook=11_01.xlsx&amp;sheet=A0&amp;row=175&amp;col=10&amp;number=&amp;sourceID=11","")</f>
        <v/>
      </c>
      <c r="K175" s="4" t="str">
        <f>HYPERLINK("http://141.218.60.56/~jnz1568/getInfo.php?workbook=11_01.xlsx&amp;sheet=A0&amp;row=175&amp;col=11&amp;number=1.438&amp;sourceID=11","1.438")</f>
        <v>1.438</v>
      </c>
      <c r="L175" s="4" t="str">
        <f>HYPERLINK("http://141.218.60.56/~jnz1568/getInfo.php?workbook=11_01.xlsx&amp;sheet=A0&amp;row=175&amp;col=12&amp;number=&amp;sourceID=11","")</f>
        <v/>
      </c>
      <c r="M175" s="4" t="str">
        <f>HYPERLINK("http://141.218.60.56/~jnz1568/getInfo.php?workbook=11_01.xlsx&amp;sheet=A0&amp;row=175&amp;col=13&amp;number=0.026606&amp;sourceID=11","0.026606")</f>
        <v>0.026606</v>
      </c>
      <c r="N175" s="4" t="str">
        <f>HYPERLINK("http://141.218.60.56/~jnz1568/getInfo.php?workbook=11_01.xlsx&amp;sheet=A0&amp;row=175&amp;col=14&amp;number=1265900&amp;sourceID=12","1265900")</f>
        <v>1265900</v>
      </c>
      <c r="O175" s="4" t="str">
        <f>HYPERLINK("http://141.218.60.56/~jnz1568/getInfo.php?workbook=11_01.xlsx&amp;sheet=A0&amp;row=175&amp;col=15&amp;number=&amp;sourceID=12","")</f>
        <v/>
      </c>
      <c r="P175" s="4" t="str">
        <f>HYPERLINK("http://141.218.60.56/~jnz1568/getInfo.php?workbook=11_01.xlsx&amp;sheet=A0&amp;row=175&amp;col=16&amp;number=1265900&amp;sourceID=12","1265900")</f>
        <v>1265900</v>
      </c>
      <c r="Q175" s="4" t="str">
        <f>HYPERLINK("http://141.218.60.56/~jnz1568/getInfo.php?workbook=11_01.xlsx&amp;sheet=A0&amp;row=175&amp;col=17&amp;number=&amp;sourceID=12","")</f>
        <v/>
      </c>
      <c r="R175" s="4" t="str">
        <f>HYPERLINK("http://141.218.60.56/~jnz1568/getInfo.php?workbook=11_01.xlsx&amp;sheet=A0&amp;row=175&amp;col=18&amp;number=1.438&amp;sourceID=12","1.438")</f>
        <v>1.438</v>
      </c>
      <c r="S175" s="4" t="str">
        <f>HYPERLINK("http://141.218.60.56/~jnz1568/getInfo.php?workbook=11_01.xlsx&amp;sheet=A0&amp;row=175&amp;col=19&amp;number=&amp;sourceID=12","")</f>
        <v/>
      </c>
      <c r="T175" s="4" t="str">
        <f>HYPERLINK("http://141.218.60.56/~jnz1568/getInfo.php?workbook=11_01.xlsx&amp;sheet=A0&amp;row=175&amp;col=20&amp;number=0.026606&amp;sourceID=12","0.026606")</f>
        <v>0.026606</v>
      </c>
      <c r="U175" s="4" t="str">
        <f>HYPERLINK("http://141.218.60.56/~jnz1568/getInfo.php?workbook=11_01.xlsx&amp;sheet=A0&amp;row=175&amp;col=21&amp;number=1266001.438&amp;sourceID=30","1266001.438")</f>
        <v>1266001.438</v>
      </c>
      <c r="V175" s="4" t="str">
        <f>HYPERLINK("http://141.218.60.56/~jnz1568/getInfo.php?workbook=11_01.xlsx&amp;sheet=A0&amp;row=175&amp;col=22&amp;number=&amp;sourceID=30","")</f>
        <v/>
      </c>
      <c r="W175" s="4" t="str">
        <f>HYPERLINK("http://141.218.60.56/~jnz1568/getInfo.php?workbook=11_01.xlsx&amp;sheet=A0&amp;row=175&amp;col=23&amp;number=1266000&amp;sourceID=30","1266000")</f>
        <v>1266000</v>
      </c>
      <c r="X175" s="4" t="str">
        <f>HYPERLINK("http://141.218.60.56/~jnz1568/getInfo.php?workbook=11_01.xlsx&amp;sheet=A0&amp;row=175&amp;col=24&amp;number=1.438&amp;sourceID=30","1.438")</f>
        <v>1.438</v>
      </c>
      <c r="Y175" s="4" t="str">
        <f>HYPERLINK("http://141.218.60.56/~jnz1568/getInfo.php?workbook=11_01.xlsx&amp;sheet=A0&amp;row=175&amp;col=25&amp;number=&amp;sourceID=30","")</f>
        <v/>
      </c>
      <c r="Z175" s="4" t="str">
        <f>HYPERLINK("http://141.218.60.56/~jnz1568/getInfo.php?workbook=11_01.xlsx&amp;sheet=A0&amp;row=175&amp;col=26&amp;number=&amp;sourceID=13","")</f>
        <v/>
      </c>
      <c r="AA175" s="4" t="str">
        <f>HYPERLINK("http://141.218.60.56/~jnz1568/getInfo.php?workbook=11_01.xlsx&amp;sheet=A0&amp;row=175&amp;col=27&amp;number=&amp;sourceID=13","")</f>
        <v/>
      </c>
      <c r="AB175" s="4" t="str">
        <f>HYPERLINK("http://141.218.60.56/~jnz1568/getInfo.php?workbook=11_01.xlsx&amp;sheet=A0&amp;row=175&amp;col=28&amp;number=&amp;sourceID=13","")</f>
        <v/>
      </c>
      <c r="AC175" s="4" t="str">
        <f>HYPERLINK("http://141.218.60.56/~jnz1568/getInfo.php?workbook=11_01.xlsx&amp;sheet=A0&amp;row=175&amp;col=29&amp;number=&amp;sourceID=13","")</f>
        <v/>
      </c>
      <c r="AD175" s="4" t="str">
        <f>HYPERLINK("http://141.218.60.56/~jnz1568/getInfo.php?workbook=11_01.xlsx&amp;sheet=A0&amp;row=175&amp;col=30&amp;number=&amp;sourceID=13","")</f>
        <v/>
      </c>
      <c r="AE175" s="4" t="str">
        <f>HYPERLINK("http://141.218.60.56/~jnz1568/getInfo.php?workbook=11_01.xlsx&amp;sheet=A0&amp;row=175&amp;col=31&amp;number=&amp;sourceID=13","")</f>
        <v/>
      </c>
    </row>
    <row r="176" spans="1:31">
      <c r="A176" s="3">
        <v>11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HYPERLINK("http://141.218.60.56/~jnz1568/getInfo.php?workbook=11_01.xlsx&amp;sheet=A0&amp;row=176&amp;col=6&amp;number=&amp;sourceID=18","")</f>
        <v/>
      </c>
      <c r="G176" s="4" t="str">
        <f>HYPERLINK("http://141.218.60.56/~jnz1568/getInfo.php?workbook=11_01.xlsx&amp;sheet=A0&amp;row=176&amp;col=7&amp;number==&amp;sourceID=11","=")</f>
        <v>=</v>
      </c>
      <c r="H176" s="4" t="str">
        <f>HYPERLINK("http://141.218.60.56/~jnz1568/getInfo.php?workbook=11_01.xlsx&amp;sheet=A0&amp;row=176&amp;col=8&amp;number=1984900000&amp;sourceID=11","1984900000")</f>
        <v>1984900000</v>
      </c>
      <c r="I176" s="4" t="str">
        <f>HYPERLINK("http://141.218.60.56/~jnz1568/getInfo.php?workbook=11_01.xlsx&amp;sheet=A0&amp;row=176&amp;col=9&amp;number=&amp;sourceID=11","")</f>
        <v/>
      </c>
      <c r="J176" s="4" t="str">
        <f>HYPERLINK("http://141.218.60.56/~jnz1568/getInfo.php?workbook=11_01.xlsx&amp;sheet=A0&amp;row=176&amp;col=10&amp;number=19.349&amp;sourceID=11","19.349")</f>
        <v>19.349</v>
      </c>
      <c r="K176" s="4" t="str">
        <f>HYPERLINK("http://141.218.60.56/~jnz1568/getInfo.php?workbook=11_01.xlsx&amp;sheet=A0&amp;row=176&amp;col=11&amp;number=&amp;sourceID=11","")</f>
        <v/>
      </c>
      <c r="L176" s="4" t="str">
        <f>HYPERLINK("http://141.218.60.56/~jnz1568/getInfo.php?workbook=11_01.xlsx&amp;sheet=A0&amp;row=176&amp;col=12&amp;number=25.344&amp;sourceID=11","25.344")</f>
        <v>25.344</v>
      </c>
      <c r="M176" s="4" t="str">
        <f>HYPERLINK("http://141.218.60.56/~jnz1568/getInfo.php?workbook=11_01.xlsx&amp;sheet=A0&amp;row=176&amp;col=13&amp;number=&amp;sourceID=11","")</f>
        <v/>
      </c>
      <c r="N176" s="4" t="str">
        <f>HYPERLINK("http://141.218.60.56/~jnz1568/getInfo.php?workbook=11_01.xlsx&amp;sheet=A0&amp;row=176&amp;col=14&amp;number=1984900000&amp;sourceID=12","1984900000")</f>
        <v>1984900000</v>
      </c>
      <c r="O176" s="4" t="str">
        <f>HYPERLINK("http://141.218.60.56/~jnz1568/getInfo.php?workbook=11_01.xlsx&amp;sheet=A0&amp;row=176&amp;col=15&amp;number=1984900000&amp;sourceID=12","1984900000")</f>
        <v>1984900000</v>
      </c>
      <c r="P176" s="4" t="str">
        <f>HYPERLINK("http://141.218.60.56/~jnz1568/getInfo.php?workbook=11_01.xlsx&amp;sheet=A0&amp;row=176&amp;col=16&amp;number=&amp;sourceID=12","")</f>
        <v/>
      </c>
      <c r="Q176" s="4" t="str">
        <f>HYPERLINK("http://141.218.60.56/~jnz1568/getInfo.php?workbook=11_01.xlsx&amp;sheet=A0&amp;row=176&amp;col=17&amp;number=19.349&amp;sourceID=12","19.349")</f>
        <v>19.349</v>
      </c>
      <c r="R176" s="4" t="str">
        <f>HYPERLINK("http://141.218.60.56/~jnz1568/getInfo.php?workbook=11_01.xlsx&amp;sheet=A0&amp;row=176&amp;col=18&amp;number=&amp;sourceID=12","")</f>
        <v/>
      </c>
      <c r="S176" s="4" t="str">
        <f>HYPERLINK("http://141.218.60.56/~jnz1568/getInfo.php?workbook=11_01.xlsx&amp;sheet=A0&amp;row=176&amp;col=19&amp;number=25.345&amp;sourceID=12","25.345")</f>
        <v>25.345</v>
      </c>
      <c r="T176" s="4" t="str">
        <f>HYPERLINK("http://141.218.60.56/~jnz1568/getInfo.php?workbook=11_01.xlsx&amp;sheet=A0&amp;row=176&amp;col=20&amp;number=&amp;sourceID=12","")</f>
        <v/>
      </c>
      <c r="U176" s="4" t="str">
        <f>HYPERLINK("http://141.218.60.56/~jnz1568/getInfo.php?workbook=11_01.xlsx&amp;sheet=A0&amp;row=176&amp;col=21&amp;number=1985000025.34&amp;sourceID=30","1985000025.34")</f>
        <v>1985000025.34</v>
      </c>
      <c r="V176" s="4" t="str">
        <f>HYPERLINK("http://141.218.60.56/~jnz1568/getInfo.php?workbook=11_01.xlsx&amp;sheet=A0&amp;row=176&amp;col=22&amp;number=1985000000&amp;sourceID=30","1985000000")</f>
        <v>1985000000</v>
      </c>
      <c r="W176" s="4" t="str">
        <f>HYPERLINK("http://141.218.60.56/~jnz1568/getInfo.php?workbook=11_01.xlsx&amp;sheet=A0&amp;row=176&amp;col=23&amp;number=&amp;sourceID=30","")</f>
        <v/>
      </c>
      <c r="X176" s="4" t="str">
        <f>HYPERLINK("http://141.218.60.56/~jnz1568/getInfo.php?workbook=11_01.xlsx&amp;sheet=A0&amp;row=176&amp;col=24&amp;number=&amp;sourceID=30","")</f>
        <v/>
      </c>
      <c r="Y176" s="4" t="str">
        <f>HYPERLINK("http://141.218.60.56/~jnz1568/getInfo.php?workbook=11_01.xlsx&amp;sheet=A0&amp;row=176&amp;col=25&amp;number=25.34&amp;sourceID=30","25.34")</f>
        <v>25.34</v>
      </c>
      <c r="Z176" s="4" t="str">
        <f>HYPERLINK("http://141.218.60.56/~jnz1568/getInfo.php?workbook=11_01.xlsx&amp;sheet=A0&amp;row=176&amp;col=26&amp;number=&amp;sourceID=13","")</f>
        <v/>
      </c>
      <c r="AA176" s="4" t="str">
        <f>HYPERLINK("http://141.218.60.56/~jnz1568/getInfo.php?workbook=11_01.xlsx&amp;sheet=A0&amp;row=176&amp;col=27&amp;number=&amp;sourceID=13","")</f>
        <v/>
      </c>
      <c r="AB176" s="4" t="str">
        <f>HYPERLINK("http://141.218.60.56/~jnz1568/getInfo.php?workbook=11_01.xlsx&amp;sheet=A0&amp;row=176&amp;col=28&amp;number=&amp;sourceID=13","")</f>
        <v/>
      </c>
      <c r="AC176" s="4" t="str">
        <f>HYPERLINK("http://141.218.60.56/~jnz1568/getInfo.php?workbook=11_01.xlsx&amp;sheet=A0&amp;row=176&amp;col=29&amp;number=&amp;sourceID=13","")</f>
        <v/>
      </c>
      <c r="AD176" s="4" t="str">
        <f>HYPERLINK("http://141.218.60.56/~jnz1568/getInfo.php?workbook=11_01.xlsx&amp;sheet=A0&amp;row=176&amp;col=30&amp;number=&amp;sourceID=13","")</f>
        <v/>
      </c>
      <c r="AE176" s="4" t="str">
        <f>HYPERLINK("http://141.218.60.56/~jnz1568/getInfo.php?workbook=11_01.xlsx&amp;sheet=A0&amp;row=176&amp;col=31&amp;number=&amp;sourceID=13","")</f>
        <v/>
      </c>
    </row>
    <row r="177" spans="1:31">
      <c r="A177" s="3">
        <v>11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HYPERLINK("http://141.218.60.56/~jnz1568/getInfo.php?workbook=11_01.xlsx&amp;sheet=A0&amp;row=177&amp;col=6&amp;number=&amp;sourceID=18","")</f>
        <v/>
      </c>
      <c r="G177" s="4" t="str">
        <f>HYPERLINK("http://141.218.60.56/~jnz1568/getInfo.php?workbook=11_01.xlsx&amp;sheet=A0&amp;row=177&amp;col=7&amp;number==&amp;sourceID=11","=")</f>
        <v>=</v>
      </c>
      <c r="H177" s="4" t="str">
        <f>HYPERLINK("http://141.218.60.56/~jnz1568/getInfo.php?workbook=11_01.xlsx&amp;sheet=A0&amp;row=177&amp;col=8&amp;number=&amp;sourceID=11","")</f>
        <v/>
      </c>
      <c r="I177" s="4" t="str">
        <f>HYPERLINK("http://141.218.60.56/~jnz1568/getInfo.php?workbook=11_01.xlsx&amp;sheet=A0&amp;row=177&amp;col=9&amp;number=403510&amp;sourceID=11","403510")</f>
        <v>403510</v>
      </c>
      <c r="J177" s="4" t="str">
        <f>HYPERLINK("http://141.218.60.56/~jnz1568/getInfo.php?workbook=11_01.xlsx&amp;sheet=A0&amp;row=177&amp;col=10&amp;number=&amp;sourceID=11","")</f>
        <v/>
      </c>
      <c r="K177" s="4" t="str">
        <f>HYPERLINK("http://141.218.60.56/~jnz1568/getInfo.php?workbook=11_01.xlsx&amp;sheet=A0&amp;row=177&amp;col=11&amp;number=0.55073&amp;sourceID=11","0.55073")</f>
        <v>0.55073</v>
      </c>
      <c r="L177" s="4" t="str">
        <f>HYPERLINK("http://141.218.60.56/~jnz1568/getInfo.php?workbook=11_01.xlsx&amp;sheet=A0&amp;row=177&amp;col=12&amp;number=&amp;sourceID=11","")</f>
        <v/>
      </c>
      <c r="M177" s="4" t="str">
        <f>HYPERLINK("http://141.218.60.56/~jnz1568/getInfo.php?workbook=11_01.xlsx&amp;sheet=A0&amp;row=177&amp;col=13&amp;number=&amp;sourceID=11","")</f>
        <v/>
      </c>
      <c r="N177" s="4" t="str">
        <f>HYPERLINK("http://141.218.60.56/~jnz1568/getInfo.php?workbook=11_01.xlsx&amp;sheet=A0&amp;row=177&amp;col=14&amp;number=403520&amp;sourceID=12","403520")</f>
        <v>403520</v>
      </c>
      <c r="O177" s="4" t="str">
        <f>HYPERLINK("http://141.218.60.56/~jnz1568/getInfo.php?workbook=11_01.xlsx&amp;sheet=A0&amp;row=177&amp;col=15&amp;number=&amp;sourceID=12","")</f>
        <v/>
      </c>
      <c r="P177" s="4" t="str">
        <f>HYPERLINK("http://141.218.60.56/~jnz1568/getInfo.php?workbook=11_01.xlsx&amp;sheet=A0&amp;row=177&amp;col=16&amp;number=403520&amp;sourceID=12","403520")</f>
        <v>403520</v>
      </c>
      <c r="Q177" s="4" t="str">
        <f>HYPERLINK("http://141.218.60.56/~jnz1568/getInfo.php?workbook=11_01.xlsx&amp;sheet=A0&amp;row=177&amp;col=17&amp;number=&amp;sourceID=12","")</f>
        <v/>
      </c>
      <c r="R177" s="4" t="str">
        <f>HYPERLINK("http://141.218.60.56/~jnz1568/getInfo.php?workbook=11_01.xlsx&amp;sheet=A0&amp;row=177&amp;col=18&amp;number=0.55075&amp;sourceID=12","0.55075")</f>
        <v>0.55075</v>
      </c>
      <c r="S177" s="4" t="str">
        <f>HYPERLINK("http://141.218.60.56/~jnz1568/getInfo.php?workbook=11_01.xlsx&amp;sheet=A0&amp;row=177&amp;col=19&amp;number=&amp;sourceID=12","")</f>
        <v/>
      </c>
      <c r="T177" s="4" t="str">
        <f>HYPERLINK("http://141.218.60.56/~jnz1568/getInfo.php?workbook=11_01.xlsx&amp;sheet=A0&amp;row=177&amp;col=20&amp;number=&amp;sourceID=12","")</f>
        <v/>
      </c>
      <c r="U177" s="4" t="str">
        <f>HYPERLINK("http://141.218.60.56/~jnz1568/getInfo.php?workbook=11_01.xlsx&amp;sheet=A0&amp;row=177&amp;col=21&amp;number=403500.5509&amp;sourceID=30","403500.5509")</f>
        <v>403500.5509</v>
      </c>
      <c r="V177" s="4" t="str">
        <f>HYPERLINK("http://141.218.60.56/~jnz1568/getInfo.php?workbook=11_01.xlsx&amp;sheet=A0&amp;row=177&amp;col=22&amp;number=&amp;sourceID=30","")</f>
        <v/>
      </c>
      <c r="W177" s="4" t="str">
        <f>HYPERLINK("http://141.218.60.56/~jnz1568/getInfo.php?workbook=11_01.xlsx&amp;sheet=A0&amp;row=177&amp;col=23&amp;number=403500&amp;sourceID=30","403500")</f>
        <v>403500</v>
      </c>
      <c r="X177" s="4" t="str">
        <f>HYPERLINK("http://141.218.60.56/~jnz1568/getInfo.php?workbook=11_01.xlsx&amp;sheet=A0&amp;row=177&amp;col=24&amp;number=0.5509&amp;sourceID=30","0.5509")</f>
        <v>0.5509</v>
      </c>
      <c r="Y177" s="4" t="str">
        <f>HYPERLINK("http://141.218.60.56/~jnz1568/getInfo.php?workbook=11_01.xlsx&amp;sheet=A0&amp;row=177&amp;col=25&amp;number=&amp;sourceID=30","")</f>
        <v/>
      </c>
      <c r="Z177" s="4" t="str">
        <f>HYPERLINK("http://141.218.60.56/~jnz1568/getInfo.php?workbook=11_01.xlsx&amp;sheet=A0&amp;row=177&amp;col=26&amp;number=&amp;sourceID=13","")</f>
        <v/>
      </c>
      <c r="AA177" s="4" t="str">
        <f>HYPERLINK("http://141.218.60.56/~jnz1568/getInfo.php?workbook=11_01.xlsx&amp;sheet=A0&amp;row=177&amp;col=27&amp;number=&amp;sourceID=13","")</f>
        <v/>
      </c>
      <c r="AB177" s="4" t="str">
        <f>HYPERLINK("http://141.218.60.56/~jnz1568/getInfo.php?workbook=11_01.xlsx&amp;sheet=A0&amp;row=177&amp;col=28&amp;number=&amp;sourceID=13","")</f>
        <v/>
      </c>
      <c r="AC177" s="4" t="str">
        <f>HYPERLINK("http://141.218.60.56/~jnz1568/getInfo.php?workbook=11_01.xlsx&amp;sheet=A0&amp;row=177&amp;col=29&amp;number=&amp;sourceID=13","")</f>
        <v/>
      </c>
      <c r="AD177" s="4" t="str">
        <f>HYPERLINK("http://141.218.60.56/~jnz1568/getInfo.php?workbook=11_01.xlsx&amp;sheet=A0&amp;row=177&amp;col=30&amp;number=&amp;sourceID=13","")</f>
        <v/>
      </c>
      <c r="AE177" s="4" t="str">
        <f>HYPERLINK("http://141.218.60.56/~jnz1568/getInfo.php?workbook=11_01.xlsx&amp;sheet=A0&amp;row=177&amp;col=31&amp;number=&amp;sourceID=13","")</f>
        <v/>
      </c>
    </row>
    <row r="178" spans="1:31">
      <c r="A178" s="3">
        <v>11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HYPERLINK("http://141.218.60.56/~jnz1568/getInfo.php?workbook=11_01.xlsx&amp;sheet=A0&amp;row=178&amp;col=6&amp;number=&amp;sourceID=18","")</f>
        <v/>
      </c>
      <c r="G178" s="4" t="str">
        <f>HYPERLINK("http://141.218.60.56/~jnz1568/getInfo.php?workbook=11_01.xlsx&amp;sheet=A0&amp;row=178&amp;col=7&amp;number==&amp;sourceID=11","=")</f>
        <v>=</v>
      </c>
      <c r="H178" s="4" t="str">
        <f>HYPERLINK("http://141.218.60.56/~jnz1568/getInfo.php?workbook=11_01.xlsx&amp;sheet=A0&amp;row=178&amp;col=8&amp;number=10751000000&amp;sourceID=11","10751000000")</f>
        <v>10751000000</v>
      </c>
      <c r="I178" s="4" t="str">
        <f>HYPERLINK("http://141.218.60.56/~jnz1568/getInfo.php?workbook=11_01.xlsx&amp;sheet=A0&amp;row=178&amp;col=9&amp;number=&amp;sourceID=11","")</f>
        <v/>
      </c>
      <c r="J178" s="4" t="str">
        <f>HYPERLINK("http://141.218.60.56/~jnz1568/getInfo.php?workbook=11_01.xlsx&amp;sheet=A0&amp;row=178&amp;col=10&amp;number=&amp;sourceID=11","")</f>
        <v/>
      </c>
      <c r="K178" s="4" t="str">
        <f>HYPERLINK("http://141.218.60.56/~jnz1568/getInfo.php?workbook=11_01.xlsx&amp;sheet=A0&amp;row=178&amp;col=11&amp;number=&amp;sourceID=11","")</f>
        <v/>
      </c>
      <c r="L178" s="4" t="str">
        <f>HYPERLINK("http://141.218.60.56/~jnz1568/getInfo.php?workbook=11_01.xlsx&amp;sheet=A0&amp;row=178&amp;col=12&amp;number=10.654&amp;sourceID=11","10.654")</f>
        <v>10.654</v>
      </c>
      <c r="M178" s="4" t="str">
        <f>HYPERLINK("http://141.218.60.56/~jnz1568/getInfo.php?workbook=11_01.xlsx&amp;sheet=A0&amp;row=178&amp;col=13&amp;number=&amp;sourceID=11","")</f>
        <v/>
      </c>
      <c r="N178" s="4" t="str">
        <f>HYPERLINK("http://141.218.60.56/~jnz1568/getInfo.php?workbook=11_01.xlsx&amp;sheet=A0&amp;row=178&amp;col=14&amp;number=10751000000&amp;sourceID=12","10751000000")</f>
        <v>10751000000</v>
      </c>
      <c r="O178" s="4" t="str">
        <f>HYPERLINK("http://141.218.60.56/~jnz1568/getInfo.php?workbook=11_01.xlsx&amp;sheet=A0&amp;row=178&amp;col=15&amp;number=10751000000&amp;sourceID=12","10751000000")</f>
        <v>10751000000</v>
      </c>
      <c r="P178" s="4" t="str">
        <f>HYPERLINK("http://141.218.60.56/~jnz1568/getInfo.php?workbook=11_01.xlsx&amp;sheet=A0&amp;row=178&amp;col=16&amp;number=&amp;sourceID=12","")</f>
        <v/>
      </c>
      <c r="Q178" s="4" t="str">
        <f>HYPERLINK("http://141.218.60.56/~jnz1568/getInfo.php?workbook=11_01.xlsx&amp;sheet=A0&amp;row=178&amp;col=17&amp;number=&amp;sourceID=12","")</f>
        <v/>
      </c>
      <c r="R178" s="4" t="str">
        <f>HYPERLINK("http://141.218.60.56/~jnz1568/getInfo.php?workbook=11_01.xlsx&amp;sheet=A0&amp;row=178&amp;col=18&amp;number=&amp;sourceID=12","")</f>
        <v/>
      </c>
      <c r="S178" s="4" t="str">
        <f>HYPERLINK("http://141.218.60.56/~jnz1568/getInfo.php?workbook=11_01.xlsx&amp;sheet=A0&amp;row=178&amp;col=19&amp;number=10.654&amp;sourceID=12","10.654")</f>
        <v>10.654</v>
      </c>
      <c r="T178" s="4" t="str">
        <f>HYPERLINK("http://141.218.60.56/~jnz1568/getInfo.php?workbook=11_01.xlsx&amp;sheet=A0&amp;row=178&amp;col=20&amp;number=&amp;sourceID=12","")</f>
        <v/>
      </c>
      <c r="U178" s="4" t="str">
        <f>HYPERLINK("http://141.218.60.56/~jnz1568/getInfo.php?workbook=11_01.xlsx&amp;sheet=A0&amp;row=178&amp;col=21&amp;number=10750000010.6&amp;sourceID=30","10750000010.6")</f>
        <v>10750000010.6</v>
      </c>
      <c r="V178" s="4" t="str">
        <f>HYPERLINK("http://141.218.60.56/~jnz1568/getInfo.php?workbook=11_01.xlsx&amp;sheet=A0&amp;row=178&amp;col=22&amp;number=10750000000&amp;sourceID=30","10750000000")</f>
        <v>10750000000</v>
      </c>
      <c r="W178" s="4" t="str">
        <f>HYPERLINK("http://141.218.60.56/~jnz1568/getInfo.php?workbook=11_01.xlsx&amp;sheet=A0&amp;row=178&amp;col=23&amp;number=&amp;sourceID=30","")</f>
        <v/>
      </c>
      <c r="X178" s="4" t="str">
        <f>HYPERLINK("http://141.218.60.56/~jnz1568/getInfo.php?workbook=11_01.xlsx&amp;sheet=A0&amp;row=178&amp;col=24&amp;number=&amp;sourceID=30","")</f>
        <v/>
      </c>
      <c r="Y178" s="4" t="str">
        <f>HYPERLINK("http://141.218.60.56/~jnz1568/getInfo.php?workbook=11_01.xlsx&amp;sheet=A0&amp;row=178&amp;col=25&amp;number=10.65&amp;sourceID=30","10.65")</f>
        <v>10.65</v>
      </c>
      <c r="Z178" s="4" t="str">
        <f>HYPERLINK("http://141.218.60.56/~jnz1568/getInfo.php?workbook=11_01.xlsx&amp;sheet=A0&amp;row=178&amp;col=26&amp;number=&amp;sourceID=13","")</f>
        <v/>
      </c>
      <c r="AA178" s="4" t="str">
        <f>HYPERLINK("http://141.218.60.56/~jnz1568/getInfo.php?workbook=11_01.xlsx&amp;sheet=A0&amp;row=178&amp;col=27&amp;number=&amp;sourceID=13","")</f>
        <v/>
      </c>
      <c r="AB178" s="4" t="str">
        <f>HYPERLINK("http://141.218.60.56/~jnz1568/getInfo.php?workbook=11_01.xlsx&amp;sheet=A0&amp;row=178&amp;col=28&amp;number=&amp;sourceID=13","")</f>
        <v/>
      </c>
      <c r="AC178" s="4" t="str">
        <f>HYPERLINK("http://141.218.60.56/~jnz1568/getInfo.php?workbook=11_01.xlsx&amp;sheet=A0&amp;row=178&amp;col=29&amp;number=&amp;sourceID=13","")</f>
        <v/>
      </c>
      <c r="AD178" s="4" t="str">
        <f>HYPERLINK("http://141.218.60.56/~jnz1568/getInfo.php?workbook=11_01.xlsx&amp;sheet=A0&amp;row=178&amp;col=30&amp;number=&amp;sourceID=13","")</f>
        <v/>
      </c>
      <c r="AE178" s="4" t="str">
        <f>HYPERLINK("http://141.218.60.56/~jnz1568/getInfo.php?workbook=11_01.xlsx&amp;sheet=A0&amp;row=178&amp;col=31&amp;number=&amp;sourceID=13","")</f>
        <v/>
      </c>
    </row>
    <row r="179" spans="1:31">
      <c r="A179" s="3">
        <v>11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HYPERLINK("http://141.218.60.56/~jnz1568/getInfo.php?workbook=11_01.xlsx&amp;sheet=A0&amp;row=179&amp;col=6&amp;number=&amp;sourceID=18","")</f>
        <v/>
      </c>
      <c r="G179" s="4" t="str">
        <f>HYPERLINK("http://141.218.60.56/~jnz1568/getInfo.php?workbook=11_01.xlsx&amp;sheet=A0&amp;row=179&amp;col=7&amp;number==&amp;sourceID=11","=")</f>
        <v>=</v>
      </c>
      <c r="H179" s="4" t="str">
        <f>HYPERLINK("http://141.218.60.56/~jnz1568/getInfo.php?workbook=11_01.xlsx&amp;sheet=A0&amp;row=179&amp;col=8&amp;number=276370000&amp;sourceID=11","276370000")</f>
        <v>276370000</v>
      </c>
      <c r="I179" s="4" t="str">
        <f>HYPERLINK("http://141.218.60.56/~jnz1568/getInfo.php?workbook=11_01.xlsx&amp;sheet=A0&amp;row=179&amp;col=9&amp;number=&amp;sourceID=11","")</f>
        <v/>
      </c>
      <c r="J179" s="4" t="str">
        <f>HYPERLINK("http://141.218.60.56/~jnz1568/getInfo.php?workbook=11_01.xlsx&amp;sheet=A0&amp;row=179&amp;col=10&amp;number=9.914&amp;sourceID=11","9.914")</f>
        <v>9.914</v>
      </c>
      <c r="K179" s="4" t="str">
        <f>HYPERLINK("http://141.218.60.56/~jnz1568/getInfo.php?workbook=11_01.xlsx&amp;sheet=A0&amp;row=179&amp;col=11&amp;number=&amp;sourceID=11","")</f>
        <v/>
      </c>
      <c r="L179" s="4" t="str">
        <f>HYPERLINK("http://141.218.60.56/~jnz1568/getInfo.php?workbook=11_01.xlsx&amp;sheet=A0&amp;row=179&amp;col=12&amp;number=&amp;sourceID=11","")</f>
        <v/>
      </c>
      <c r="M179" s="4" t="str">
        <f>HYPERLINK("http://141.218.60.56/~jnz1568/getInfo.php?workbook=11_01.xlsx&amp;sheet=A0&amp;row=179&amp;col=13&amp;number=&amp;sourceID=11","")</f>
        <v/>
      </c>
      <c r="N179" s="4" t="str">
        <f>HYPERLINK("http://141.218.60.56/~jnz1568/getInfo.php?workbook=11_01.xlsx&amp;sheet=A0&amp;row=179&amp;col=14&amp;number=276380000&amp;sourceID=12","276380000")</f>
        <v>276380000</v>
      </c>
      <c r="O179" s="4" t="str">
        <f>HYPERLINK("http://141.218.60.56/~jnz1568/getInfo.php?workbook=11_01.xlsx&amp;sheet=A0&amp;row=179&amp;col=15&amp;number=276380000&amp;sourceID=12","276380000")</f>
        <v>276380000</v>
      </c>
      <c r="P179" s="4" t="str">
        <f>HYPERLINK("http://141.218.60.56/~jnz1568/getInfo.php?workbook=11_01.xlsx&amp;sheet=A0&amp;row=179&amp;col=16&amp;number=&amp;sourceID=12","")</f>
        <v/>
      </c>
      <c r="Q179" s="4" t="str">
        <f>HYPERLINK("http://141.218.60.56/~jnz1568/getInfo.php?workbook=11_01.xlsx&amp;sheet=A0&amp;row=179&amp;col=17&amp;number=9.9142&amp;sourceID=12","9.9142")</f>
        <v>9.9142</v>
      </c>
      <c r="R179" s="4" t="str">
        <f>HYPERLINK("http://141.218.60.56/~jnz1568/getInfo.php?workbook=11_01.xlsx&amp;sheet=A0&amp;row=179&amp;col=18&amp;number=&amp;sourceID=12","")</f>
        <v/>
      </c>
      <c r="S179" s="4" t="str">
        <f>HYPERLINK("http://141.218.60.56/~jnz1568/getInfo.php?workbook=11_01.xlsx&amp;sheet=A0&amp;row=179&amp;col=19&amp;number=&amp;sourceID=12","")</f>
        <v/>
      </c>
      <c r="T179" s="4" t="str">
        <f>HYPERLINK("http://141.218.60.56/~jnz1568/getInfo.php?workbook=11_01.xlsx&amp;sheet=A0&amp;row=179&amp;col=20&amp;number=&amp;sourceID=12","")</f>
        <v/>
      </c>
      <c r="U179" s="4" t="str">
        <f>HYPERLINK("http://141.218.60.56/~jnz1568/getInfo.php?workbook=11_01.xlsx&amp;sheet=A0&amp;row=179&amp;col=21&amp;number=276400000&amp;sourceID=30","276400000")</f>
        <v>276400000</v>
      </c>
      <c r="V179" s="4" t="str">
        <f>HYPERLINK("http://141.218.60.56/~jnz1568/getInfo.php?workbook=11_01.xlsx&amp;sheet=A0&amp;row=179&amp;col=22&amp;number=276400000&amp;sourceID=30","276400000")</f>
        <v>276400000</v>
      </c>
      <c r="W179" s="4" t="str">
        <f>HYPERLINK("http://141.218.60.56/~jnz1568/getInfo.php?workbook=11_01.xlsx&amp;sheet=A0&amp;row=179&amp;col=23&amp;number=&amp;sourceID=30","")</f>
        <v/>
      </c>
      <c r="X179" s="4" t="str">
        <f>HYPERLINK("http://141.218.60.56/~jnz1568/getInfo.php?workbook=11_01.xlsx&amp;sheet=A0&amp;row=179&amp;col=24&amp;number=&amp;sourceID=30","")</f>
        <v/>
      </c>
      <c r="Y179" s="4" t="str">
        <f>HYPERLINK("http://141.218.60.56/~jnz1568/getInfo.php?workbook=11_01.xlsx&amp;sheet=A0&amp;row=179&amp;col=25&amp;number=&amp;sourceID=30","")</f>
        <v/>
      </c>
      <c r="Z179" s="4" t="str">
        <f>HYPERLINK("http://141.218.60.56/~jnz1568/getInfo.php?workbook=11_01.xlsx&amp;sheet=A0&amp;row=179&amp;col=26&amp;number=&amp;sourceID=13","")</f>
        <v/>
      </c>
      <c r="AA179" s="4" t="str">
        <f>HYPERLINK("http://141.218.60.56/~jnz1568/getInfo.php?workbook=11_01.xlsx&amp;sheet=A0&amp;row=179&amp;col=27&amp;number=&amp;sourceID=13","")</f>
        <v/>
      </c>
      <c r="AB179" s="4" t="str">
        <f>HYPERLINK("http://141.218.60.56/~jnz1568/getInfo.php?workbook=11_01.xlsx&amp;sheet=A0&amp;row=179&amp;col=28&amp;number=&amp;sourceID=13","")</f>
        <v/>
      </c>
      <c r="AC179" s="4" t="str">
        <f>HYPERLINK("http://141.218.60.56/~jnz1568/getInfo.php?workbook=11_01.xlsx&amp;sheet=A0&amp;row=179&amp;col=29&amp;number=&amp;sourceID=13","")</f>
        <v/>
      </c>
      <c r="AD179" s="4" t="str">
        <f>HYPERLINK("http://141.218.60.56/~jnz1568/getInfo.php?workbook=11_01.xlsx&amp;sheet=A0&amp;row=179&amp;col=30&amp;number=&amp;sourceID=13","")</f>
        <v/>
      </c>
      <c r="AE179" s="4" t="str">
        <f>HYPERLINK("http://141.218.60.56/~jnz1568/getInfo.php?workbook=11_01.xlsx&amp;sheet=A0&amp;row=179&amp;col=31&amp;number=&amp;sourceID=13","")</f>
        <v/>
      </c>
    </row>
    <row r="180" spans="1:31">
      <c r="A180" s="3">
        <v>11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HYPERLINK("http://141.218.60.56/~jnz1568/getInfo.php?workbook=11_01.xlsx&amp;sheet=A0&amp;row=180&amp;col=6&amp;number=&amp;sourceID=18","")</f>
        <v/>
      </c>
      <c r="G180" s="4" t="str">
        <f>HYPERLINK("http://141.218.60.56/~jnz1568/getInfo.php?workbook=11_01.xlsx&amp;sheet=A0&amp;row=180&amp;col=7&amp;number==&amp;sourceID=11","=")</f>
        <v>=</v>
      </c>
      <c r="H180" s="4" t="str">
        <f>HYPERLINK("http://141.218.60.56/~jnz1568/getInfo.php?workbook=11_01.xlsx&amp;sheet=A0&amp;row=180&amp;col=8&amp;number=&amp;sourceID=11","")</f>
        <v/>
      </c>
      <c r="I180" s="4" t="str">
        <f>HYPERLINK("http://141.218.60.56/~jnz1568/getInfo.php?workbook=11_01.xlsx&amp;sheet=A0&amp;row=180&amp;col=9&amp;number=402900&amp;sourceID=11","402900")</f>
        <v>402900</v>
      </c>
      <c r="J180" s="4" t="str">
        <f>HYPERLINK("http://141.218.60.56/~jnz1568/getInfo.php?workbook=11_01.xlsx&amp;sheet=A0&amp;row=180&amp;col=10&amp;number=&amp;sourceID=11","")</f>
        <v/>
      </c>
      <c r="K180" s="4" t="str">
        <f>HYPERLINK("http://141.218.60.56/~jnz1568/getInfo.php?workbook=11_01.xlsx&amp;sheet=A0&amp;row=180&amp;col=11&amp;number=0.045796&amp;sourceID=11","0.045796")</f>
        <v>0.045796</v>
      </c>
      <c r="L180" s="4" t="str">
        <f>HYPERLINK("http://141.218.60.56/~jnz1568/getInfo.php?workbook=11_01.xlsx&amp;sheet=A0&amp;row=180&amp;col=12&amp;number=&amp;sourceID=11","")</f>
        <v/>
      </c>
      <c r="M180" s="4" t="str">
        <f>HYPERLINK("http://141.218.60.56/~jnz1568/getInfo.php?workbook=11_01.xlsx&amp;sheet=A0&amp;row=180&amp;col=13&amp;number=0.00084788&amp;sourceID=11","0.00084788")</f>
        <v>0.00084788</v>
      </c>
      <c r="N180" s="4" t="str">
        <f>HYPERLINK("http://141.218.60.56/~jnz1568/getInfo.php?workbook=11_01.xlsx&amp;sheet=A0&amp;row=180&amp;col=14&amp;number=402910&amp;sourceID=12","402910")</f>
        <v>402910</v>
      </c>
      <c r="O180" s="4" t="str">
        <f>HYPERLINK("http://141.218.60.56/~jnz1568/getInfo.php?workbook=11_01.xlsx&amp;sheet=A0&amp;row=180&amp;col=15&amp;number=&amp;sourceID=12","")</f>
        <v/>
      </c>
      <c r="P180" s="4" t="str">
        <f>HYPERLINK("http://141.218.60.56/~jnz1568/getInfo.php?workbook=11_01.xlsx&amp;sheet=A0&amp;row=180&amp;col=16&amp;number=402910&amp;sourceID=12","402910")</f>
        <v>402910</v>
      </c>
      <c r="Q180" s="4" t="str">
        <f>HYPERLINK("http://141.218.60.56/~jnz1568/getInfo.php?workbook=11_01.xlsx&amp;sheet=A0&amp;row=180&amp;col=17&amp;number=&amp;sourceID=12","")</f>
        <v/>
      </c>
      <c r="R180" s="4" t="str">
        <f>HYPERLINK("http://141.218.60.56/~jnz1568/getInfo.php?workbook=11_01.xlsx&amp;sheet=A0&amp;row=180&amp;col=18&amp;number=0.045798&amp;sourceID=12","0.045798")</f>
        <v>0.045798</v>
      </c>
      <c r="S180" s="4" t="str">
        <f>HYPERLINK("http://141.218.60.56/~jnz1568/getInfo.php?workbook=11_01.xlsx&amp;sheet=A0&amp;row=180&amp;col=19&amp;number=&amp;sourceID=12","")</f>
        <v/>
      </c>
      <c r="T180" s="4" t="str">
        <f>HYPERLINK("http://141.218.60.56/~jnz1568/getInfo.php?workbook=11_01.xlsx&amp;sheet=A0&amp;row=180&amp;col=20&amp;number=0.0008479&amp;sourceID=12","0.0008479")</f>
        <v>0.0008479</v>
      </c>
      <c r="U180" s="4" t="str">
        <f>HYPERLINK("http://141.218.60.56/~jnz1568/getInfo.php?workbook=11_01.xlsx&amp;sheet=A0&amp;row=180&amp;col=21&amp;number=402900.04574&amp;sourceID=30","402900.04574")</f>
        <v>402900.04574</v>
      </c>
      <c r="V180" s="4" t="str">
        <f>HYPERLINK("http://141.218.60.56/~jnz1568/getInfo.php?workbook=11_01.xlsx&amp;sheet=A0&amp;row=180&amp;col=22&amp;number=&amp;sourceID=30","")</f>
        <v/>
      </c>
      <c r="W180" s="4" t="str">
        <f>HYPERLINK("http://141.218.60.56/~jnz1568/getInfo.php?workbook=11_01.xlsx&amp;sheet=A0&amp;row=180&amp;col=23&amp;number=402900&amp;sourceID=30","402900")</f>
        <v>402900</v>
      </c>
      <c r="X180" s="4" t="str">
        <f>HYPERLINK("http://141.218.60.56/~jnz1568/getInfo.php?workbook=11_01.xlsx&amp;sheet=A0&amp;row=180&amp;col=24&amp;number=0.04574&amp;sourceID=30","0.04574")</f>
        <v>0.04574</v>
      </c>
      <c r="Y180" s="4" t="str">
        <f>HYPERLINK("http://141.218.60.56/~jnz1568/getInfo.php?workbook=11_01.xlsx&amp;sheet=A0&amp;row=180&amp;col=25&amp;number=&amp;sourceID=30","")</f>
        <v/>
      </c>
      <c r="Z180" s="4" t="str">
        <f>HYPERLINK("http://141.218.60.56/~jnz1568/getInfo.php?workbook=11_01.xlsx&amp;sheet=A0&amp;row=180&amp;col=26&amp;number=&amp;sourceID=13","")</f>
        <v/>
      </c>
      <c r="AA180" s="4" t="str">
        <f>HYPERLINK("http://141.218.60.56/~jnz1568/getInfo.php?workbook=11_01.xlsx&amp;sheet=A0&amp;row=180&amp;col=27&amp;number=&amp;sourceID=13","")</f>
        <v/>
      </c>
      <c r="AB180" s="4" t="str">
        <f>HYPERLINK("http://141.218.60.56/~jnz1568/getInfo.php?workbook=11_01.xlsx&amp;sheet=A0&amp;row=180&amp;col=28&amp;number=&amp;sourceID=13","")</f>
        <v/>
      </c>
      <c r="AC180" s="4" t="str">
        <f>HYPERLINK("http://141.218.60.56/~jnz1568/getInfo.php?workbook=11_01.xlsx&amp;sheet=A0&amp;row=180&amp;col=29&amp;number=&amp;sourceID=13","")</f>
        <v/>
      </c>
      <c r="AD180" s="4" t="str">
        <f>HYPERLINK("http://141.218.60.56/~jnz1568/getInfo.php?workbook=11_01.xlsx&amp;sheet=A0&amp;row=180&amp;col=30&amp;number=&amp;sourceID=13","")</f>
        <v/>
      </c>
      <c r="AE180" s="4" t="str">
        <f>HYPERLINK("http://141.218.60.56/~jnz1568/getInfo.php?workbook=11_01.xlsx&amp;sheet=A0&amp;row=180&amp;col=31&amp;number=&amp;sourceID=13","")</f>
        <v/>
      </c>
    </row>
    <row r="181" spans="1:31">
      <c r="A181" s="3">
        <v>11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HYPERLINK("http://141.218.60.56/~jnz1568/getInfo.php?workbook=11_01.xlsx&amp;sheet=A0&amp;row=181&amp;col=6&amp;number=&amp;sourceID=18","")</f>
        <v/>
      </c>
      <c r="G181" s="4" t="str">
        <f>HYPERLINK("http://141.218.60.56/~jnz1568/getInfo.php?workbook=11_01.xlsx&amp;sheet=A0&amp;row=181&amp;col=7&amp;number==&amp;sourceID=11","=")</f>
        <v>=</v>
      </c>
      <c r="H181" s="4" t="str">
        <f>HYPERLINK("http://141.218.60.56/~jnz1568/getInfo.php?workbook=11_01.xlsx&amp;sheet=A0&amp;row=181&amp;col=8&amp;number=&amp;sourceID=11","")</f>
        <v/>
      </c>
      <c r="I181" s="4" t="str">
        <f>HYPERLINK("http://141.218.60.56/~jnz1568/getInfo.php?workbook=11_01.xlsx&amp;sheet=A0&amp;row=181&amp;col=9&amp;number=11948&amp;sourceID=11","11948")</f>
        <v>11948</v>
      </c>
      <c r="J181" s="4" t="str">
        <f>HYPERLINK("http://141.218.60.56/~jnz1568/getInfo.php?workbook=11_01.xlsx&amp;sheet=A0&amp;row=181&amp;col=10&amp;number=&amp;sourceID=11","")</f>
        <v/>
      </c>
      <c r="K181" s="4" t="str">
        <f>HYPERLINK("http://141.218.60.56/~jnz1568/getInfo.php?workbook=11_01.xlsx&amp;sheet=A0&amp;row=181&amp;col=11&amp;number=1.09e-06&amp;sourceID=11","1.09e-06")</f>
        <v>1.09e-06</v>
      </c>
      <c r="L181" s="4" t="str">
        <f>HYPERLINK("http://141.218.60.56/~jnz1568/getInfo.php?workbook=11_01.xlsx&amp;sheet=A0&amp;row=181&amp;col=12&amp;number=&amp;sourceID=11","")</f>
        <v/>
      </c>
      <c r="M181" s="4" t="str">
        <f>HYPERLINK("http://141.218.60.56/~jnz1568/getInfo.php?workbook=11_01.xlsx&amp;sheet=A0&amp;row=181&amp;col=13&amp;number=1.9928e-07&amp;sourceID=11","1.9928e-07")</f>
        <v>1.9928e-07</v>
      </c>
      <c r="N181" s="4" t="str">
        <f>HYPERLINK("http://141.218.60.56/~jnz1568/getInfo.php?workbook=11_01.xlsx&amp;sheet=A0&amp;row=181&amp;col=14&amp;number=11948&amp;sourceID=12","11948")</f>
        <v>11948</v>
      </c>
      <c r="O181" s="4" t="str">
        <f>HYPERLINK("http://141.218.60.56/~jnz1568/getInfo.php?workbook=11_01.xlsx&amp;sheet=A0&amp;row=181&amp;col=15&amp;number=&amp;sourceID=12","")</f>
        <v/>
      </c>
      <c r="P181" s="4" t="str">
        <f>HYPERLINK("http://141.218.60.56/~jnz1568/getInfo.php?workbook=11_01.xlsx&amp;sheet=A0&amp;row=181&amp;col=16&amp;number=11948&amp;sourceID=12","11948")</f>
        <v>11948</v>
      </c>
      <c r="Q181" s="4" t="str">
        <f>HYPERLINK("http://141.218.60.56/~jnz1568/getInfo.php?workbook=11_01.xlsx&amp;sheet=A0&amp;row=181&amp;col=17&amp;number=&amp;sourceID=12","")</f>
        <v/>
      </c>
      <c r="R181" s="4" t="str">
        <f>HYPERLINK("http://141.218.60.56/~jnz1568/getInfo.php?workbook=11_01.xlsx&amp;sheet=A0&amp;row=181&amp;col=18&amp;number=1.09e-06&amp;sourceID=12","1.09e-06")</f>
        <v>1.09e-06</v>
      </c>
      <c r="S181" s="4" t="str">
        <f>HYPERLINK("http://141.218.60.56/~jnz1568/getInfo.php?workbook=11_01.xlsx&amp;sheet=A0&amp;row=181&amp;col=19&amp;number=&amp;sourceID=12","")</f>
        <v/>
      </c>
      <c r="T181" s="4" t="str">
        <f>HYPERLINK("http://141.218.60.56/~jnz1568/getInfo.php?workbook=11_01.xlsx&amp;sheet=A0&amp;row=181&amp;col=20&amp;number=1.9928e-07&amp;sourceID=12","1.9928e-07")</f>
        <v>1.9928e-07</v>
      </c>
      <c r="U181" s="4" t="str">
        <f>HYPERLINK("http://141.218.60.56/~jnz1568/getInfo.php?workbook=11_01.xlsx&amp;sheet=A0&amp;row=181&amp;col=21&amp;number=11950.0000012&amp;sourceID=30","11950.0000012")</f>
        <v>11950.0000012</v>
      </c>
      <c r="V181" s="4" t="str">
        <f>HYPERLINK("http://141.218.60.56/~jnz1568/getInfo.php?workbook=11_01.xlsx&amp;sheet=A0&amp;row=181&amp;col=22&amp;number=&amp;sourceID=30","")</f>
        <v/>
      </c>
      <c r="W181" s="4" t="str">
        <f>HYPERLINK("http://141.218.60.56/~jnz1568/getInfo.php?workbook=11_01.xlsx&amp;sheet=A0&amp;row=181&amp;col=23&amp;number=11950&amp;sourceID=30","11950")</f>
        <v>11950</v>
      </c>
      <c r="X181" s="4" t="str">
        <f>HYPERLINK("http://141.218.60.56/~jnz1568/getInfo.php?workbook=11_01.xlsx&amp;sheet=A0&amp;row=181&amp;col=24&amp;number=1.168e-06&amp;sourceID=30","1.168e-06")</f>
        <v>1.168e-06</v>
      </c>
      <c r="Y181" s="4" t="str">
        <f>HYPERLINK("http://141.218.60.56/~jnz1568/getInfo.php?workbook=11_01.xlsx&amp;sheet=A0&amp;row=181&amp;col=25&amp;number=&amp;sourceID=30","")</f>
        <v/>
      </c>
      <c r="Z181" s="4" t="str">
        <f>HYPERLINK("http://141.218.60.56/~jnz1568/getInfo.php?workbook=11_01.xlsx&amp;sheet=A0&amp;row=181&amp;col=26&amp;number=&amp;sourceID=13","")</f>
        <v/>
      </c>
      <c r="AA181" s="4" t="str">
        <f>HYPERLINK("http://141.218.60.56/~jnz1568/getInfo.php?workbook=11_01.xlsx&amp;sheet=A0&amp;row=181&amp;col=27&amp;number=&amp;sourceID=13","")</f>
        <v/>
      </c>
      <c r="AB181" s="4" t="str">
        <f>HYPERLINK("http://141.218.60.56/~jnz1568/getInfo.php?workbook=11_01.xlsx&amp;sheet=A0&amp;row=181&amp;col=28&amp;number=&amp;sourceID=13","")</f>
        <v/>
      </c>
      <c r="AC181" s="4" t="str">
        <f>HYPERLINK("http://141.218.60.56/~jnz1568/getInfo.php?workbook=11_01.xlsx&amp;sheet=A0&amp;row=181&amp;col=29&amp;number=&amp;sourceID=13","")</f>
        <v/>
      </c>
      <c r="AD181" s="4" t="str">
        <f>HYPERLINK("http://141.218.60.56/~jnz1568/getInfo.php?workbook=11_01.xlsx&amp;sheet=A0&amp;row=181&amp;col=30&amp;number=&amp;sourceID=13","")</f>
        <v/>
      </c>
      <c r="AE181" s="4" t="str">
        <f>HYPERLINK("http://141.218.60.56/~jnz1568/getInfo.php?workbook=11_01.xlsx&amp;sheet=A0&amp;row=181&amp;col=31&amp;number=&amp;sourceID=13","")</f>
        <v/>
      </c>
    </row>
    <row r="182" spans="1:31">
      <c r="A182" s="3">
        <v>11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HYPERLINK("http://141.218.60.56/~jnz1568/getInfo.php?workbook=11_01.xlsx&amp;sheet=A0&amp;row=182&amp;col=6&amp;number=&amp;sourceID=18","")</f>
        <v/>
      </c>
      <c r="G182" s="4" t="str">
        <f>HYPERLINK("http://141.218.60.56/~jnz1568/getInfo.php?workbook=11_01.xlsx&amp;sheet=A0&amp;row=182&amp;col=7&amp;number==&amp;sourceID=11","=")</f>
        <v>=</v>
      </c>
      <c r="H182" s="4" t="str">
        <f>HYPERLINK("http://141.218.60.56/~jnz1568/getInfo.php?workbook=11_01.xlsx&amp;sheet=A0&amp;row=182&amp;col=8&amp;number=2499500000&amp;sourceID=11","2499500000")</f>
        <v>2499500000</v>
      </c>
      <c r="I182" s="4" t="str">
        <f>HYPERLINK("http://141.218.60.56/~jnz1568/getInfo.php?workbook=11_01.xlsx&amp;sheet=A0&amp;row=182&amp;col=9&amp;number=&amp;sourceID=11","")</f>
        <v/>
      </c>
      <c r="J182" s="4" t="str">
        <f>HYPERLINK("http://141.218.60.56/~jnz1568/getInfo.php?workbook=11_01.xlsx&amp;sheet=A0&amp;row=182&amp;col=10&amp;number=6.5958&amp;sourceID=11","6.5958")</f>
        <v>6.5958</v>
      </c>
      <c r="K182" s="4" t="str">
        <f>HYPERLINK("http://141.218.60.56/~jnz1568/getInfo.php?workbook=11_01.xlsx&amp;sheet=A0&amp;row=182&amp;col=11&amp;number=&amp;sourceID=11","")</f>
        <v/>
      </c>
      <c r="L182" s="4" t="str">
        <f>HYPERLINK("http://141.218.60.56/~jnz1568/getInfo.php?workbook=11_01.xlsx&amp;sheet=A0&amp;row=182&amp;col=12&amp;number=3.1925&amp;sourceID=11","3.1925")</f>
        <v>3.1925</v>
      </c>
      <c r="M182" s="4" t="str">
        <f>HYPERLINK("http://141.218.60.56/~jnz1568/getInfo.php?workbook=11_01.xlsx&amp;sheet=A0&amp;row=182&amp;col=13&amp;number=&amp;sourceID=11","")</f>
        <v/>
      </c>
      <c r="N182" s="4" t="str">
        <f>HYPERLINK("http://141.218.60.56/~jnz1568/getInfo.php?workbook=11_01.xlsx&amp;sheet=A0&amp;row=182&amp;col=14&amp;number=2499600000&amp;sourceID=12","2499600000")</f>
        <v>2499600000</v>
      </c>
      <c r="O182" s="4" t="str">
        <f>HYPERLINK("http://141.218.60.56/~jnz1568/getInfo.php?workbook=11_01.xlsx&amp;sheet=A0&amp;row=182&amp;col=15&amp;number=2499600000&amp;sourceID=12","2499600000")</f>
        <v>2499600000</v>
      </c>
      <c r="P182" s="4" t="str">
        <f>HYPERLINK("http://141.218.60.56/~jnz1568/getInfo.php?workbook=11_01.xlsx&amp;sheet=A0&amp;row=182&amp;col=16&amp;number=&amp;sourceID=12","")</f>
        <v/>
      </c>
      <c r="Q182" s="4" t="str">
        <f>HYPERLINK("http://141.218.60.56/~jnz1568/getInfo.php?workbook=11_01.xlsx&amp;sheet=A0&amp;row=182&amp;col=17&amp;number=6.5959&amp;sourceID=12","6.5959")</f>
        <v>6.5959</v>
      </c>
      <c r="R182" s="4" t="str">
        <f>HYPERLINK("http://141.218.60.56/~jnz1568/getInfo.php?workbook=11_01.xlsx&amp;sheet=A0&amp;row=182&amp;col=18&amp;number=&amp;sourceID=12","")</f>
        <v/>
      </c>
      <c r="S182" s="4" t="str">
        <f>HYPERLINK("http://141.218.60.56/~jnz1568/getInfo.php?workbook=11_01.xlsx&amp;sheet=A0&amp;row=182&amp;col=19&amp;number=3.1926&amp;sourceID=12","3.1926")</f>
        <v>3.1926</v>
      </c>
      <c r="T182" s="4" t="str">
        <f>HYPERLINK("http://141.218.60.56/~jnz1568/getInfo.php?workbook=11_01.xlsx&amp;sheet=A0&amp;row=182&amp;col=20&amp;number=&amp;sourceID=12","")</f>
        <v/>
      </c>
      <c r="U182" s="4" t="str">
        <f>HYPERLINK("http://141.218.60.56/~jnz1568/getInfo.php?workbook=11_01.xlsx&amp;sheet=A0&amp;row=182&amp;col=21&amp;number=2500000003.19&amp;sourceID=30","2500000003.19")</f>
        <v>2500000003.19</v>
      </c>
      <c r="V182" s="4" t="str">
        <f>HYPERLINK("http://141.218.60.56/~jnz1568/getInfo.php?workbook=11_01.xlsx&amp;sheet=A0&amp;row=182&amp;col=22&amp;number=2500000000&amp;sourceID=30","2500000000")</f>
        <v>2500000000</v>
      </c>
      <c r="W182" s="4" t="str">
        <f>HYPERLINK("http://141.218.60.56/~jnz1568/getInfo.php?workbook=11_01.xlsx&amp;sheet=A0&amp;row=182&amp;col=23&amp;number=&amp;sourceID=30","")</f>
        <v/>
      </c>
      <c r="X182" s="4" t="str">
        <f>HYPERLINK("http://141.218.60.56/~jnz1568/getInfo.php?workbook=11_01.xlsx&amp;sheet=A0&amp;row=182&amp;col=24&amp;number=&amp;sourceID=30","")</f>
        <v/>
      </c>
      <c r="Y182" s="4" t="str">
        <f>HYPERLINK("http://141.218.60.56/~jnz1568/getInfo.php?workbook=11_01.xlsx&amp;sheet=A0&amp;row=182&amp;col=25&amp;number=3.193&amp;sourceID=30","3.193")</f>
        <v>3.193</v>
      </c>
      <c r="Z182" s="4" t="str">
        <f>HYPERLINK("http://141.218.60.56/~jnz1568/getInfo.php?workbook=11_01.xlsx&amp;sheet=A0&amp;row=182&amp;col=26&amp;number=&amp;sourceID=13","")</f>
        <v/>
      </c>
      <c r="AA182" s="4" t="str">
        <f>HYPERLINK("http://141.218.60.56/~jnz1568/getInfo.php?workbook=11_01.xlsx&amp;sheet=A0&amp;row=182&amp;col=27&amp;number=&amp;sourceID=13","")</f>
        <v/>
      </c>
      <c r="AB182" s="4" t="str">
        <f>HYPERLINK("http://141.218.60.56/~jnz1568/getInfo.php?workbook=11_01.xlsx&amp;sheet=A0&amp;row=182&amp;col=28&amp;number=&amp;sourceID=13","")</f>
        <v/>
      </c>
      <c r="AC182" s="4" t="str">
        <f>HYPERLINK("http://141.218.60.56/~jnz1568/getInfo.php?workbook=11_01.xlsx&amp;sheet=A0&amp;row=182&amp;col=29&amp;number=&amp;sourceID=13","")</f>
        <v/>
      </c>
      <c r="AD182" s="4" t="str">
        <f>HYPERLINK("http://141.218.60.56/~jnz1568/getInfo.php?workbook=11_01.xlsx&amp;sheet=A0&amp;row=182&amp;col=30&amp;number=&amp;sourceID=13","")</f>
        <v/>
      </c>
      <c r="AE182" s="4" t="str">
        <f>HYPERLINK("http://141.218.60.56/~jnz1568/getInfo.php?workbook=11_01.xlsx&amp;sheet=A0&amp;row=182&amp;col=31&amp;number=&amp;sourceID=13","")</f>
        <v/>
      </c>
    </row>
    <row r="183" spans="1:31">
      <c r="A183" s="3">
        <v>11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HYPERLINK("http://141.218.60.56/~jnz1568/getInfo.php?workbook=11_01.xlsx&amp;sheet=A0&amp;row=183&amp;col=6&amp;number=&amp;sourceID=18","")</f>
        <v/>
      </c>
      <c r="G183" s="4" t="str">
        <f>HYPERLINK("http://141.218.60.56/~jnz1568/getInfo.php?workbook=11_01.xlsx&amp;sheet=A0&amp;row=183&amp;col=7&amp;number==&amp;sourceID=11","=")</f>
        <v>=</v>
      </c>
      <c r="H183" s="4" t="str">
        <f>HYPERLINK("http://141.218.60.56/~jnz1568/getInfo.php?workbook=11_01.xlsx&amp;sheet=A0&amp;row=183&amp;col=8&amp;number=&amp;sourceID=11","")</f>
        <v/>
      </c>
      <c r="I183" s="4" t="str">
        <f>HYPERLINK("http://141.218.60.56/~jnz1568/getInfo.php?workbook=11_01.xlsx&amp;sheet=A0&amp;row=183&amp;col=9&amp;number=71732&amp;sourceID=11","71732")</f>
        <v>71732</v>
      </c>
      <c r="J183" s="4" t="str">
        <f>HYPERLINK("http://141.218.60.56/~jnz1568/getInfo.php?workbook=11_01.xlsx&amp;sheet=A0&amp;row=183&amp;col=10&amp;number=&amp;sourceID=11","")</f>
        <v/>
      </c>
      <c r="K183" s="4" t="str">
        <f>HYPERLINK("http://141.218.60.56/~jnz1568/getInfo.php?workbook=11_01.xlsx&amp;sheet=A0&amp;row=183&amp;col=11&amp;number=&amp;sourceID=11","")</f>
        <v/>
      </c>
      <c r="L183" s="4" t="str">
        <f>HYPERLINK("http://141.218.60.56/~jnz1568/getInfo.php?workbook=11_01.xlsx&amp;sheet=A0&amp;row=183&amp;col=12&amp;number=&amp;sourceID=11","")</f>
        <v/>
      </c>
      <c r="M183" s="4" t="str">
        <f>HYPERLINK("http://141.218.60.56/~jnz1568/getInfo.php?workbook=11_01.xlsx&amp;sheet=A0&amp;row=183&amp;col=13&amp;number=8.0694e-05&amp;sourceID=11","8.0694e-05")</f>
        <v>8.0694e-05</v>
      </c>
      <c r="N183" s="4" t="str">
        <f>HYPERLINK("http://141.218.60.56/~jnz1568/getInfo.php?workbook=11_01.xlsx&amp;sheet=A0&amp;row=183&amp;col=14&amp;number=71734&amp;sourceID=12","71734")</f>
        <v>71734</v>
      </c>
      <c r="O183" s="4" t="str">
        <f>HYPERLINK("http://141.218.60.56/~jnz1568/getInfo.php?workbook=11_01.xlsx&amp;sheet=A0&amp;row=183&amp;col=15&amp;number=&amp;sourceID=12","")</f>
        <v/>
      </c>
      <c r="P183" s="4" t="str">
        <f>HYPERLINK("http://141.218.60.56/~jnz1568/getInfo.php?workbook=11_01.xlsx&amp;sheet=A0&amp;row=183&amp;col=16&amp;number=71734&amp;sourceID=12","71734")</f>
        <v>71734</v>
      </c>
      <c r="Q183" s="4" t="str">
        <f>HYPERLINK("http://141.218.60.56/~jnz1568/getInfo.php?workbook=11_01.xlsx&amp;sheet=A0&amp;row=183&amp;col=17&amp;number=&amp;sourceID=12","")</f>
        <v/>
      </c>
      <c r="R183" s="4" t="str">
        <f>HYPERLINK("http://141.218.60.56/~jnz1568/getInfo.php?workbook=11_01.xlsx&amp;sheet=A0&amp;row=183&amp;col=18&amp;number=&amp;sourceID=12","")</f>
        <v/>
      </c>
      <c r="S183" s="4" t="str">
        <f>HYPERLINK("http://141.218.60.56/~jnz1568/getInfo.php?workbook=11_01.xlsx&amp;sheet=A0&amp;row=183&amp;col=19&amp;number=&amp;sourceID=12","")</f>
        <v/>
      </c>
      <c r="T183" s="4" t="str">
        <f>HYPERLINK("http://141.218.60.56/~jnz1568/getInfo.php?workbook=11_01.xlsx&amp;sheet=A0&amp;row=183&amp;col=20&amp;number=8.0696e-05&amp;sourceID=12","8.0696e-05")</f>
        <v>8.0696e-05</v>
      </c>
      <c r="U183" s="4" t="str">
        <f>HYPERLINK("http://141.218.60.56/~jnz1568/getInfo.php?workbook=11_01.xlsx&amp;sheet=A0&amp;row=183&amp;col=21&amp;number=71730&amp;sourceID=30","71730")</f>
        <v>71730</v>
      </c>
      <c r="V183" s="4" t="str">
        <f>HYPERLINK("http://141.218.60.56/~jnz1568/getInfo.php?workbook=11_01.xlsx&amp;sheet=A0&amp;row=183&amp;col=22&amp;number=&amp;sourceID=30","")</f>
        <v/>
      </c>
      <c r="W183" s="4" t="str">
        <f>HYPERLINK("http://141.218.60.56/~jnz1568/getInfo.php?workbook=11_01.xlsx&amp;sheet=A0&amp;row=183&amp;col=23&amp;number=71730&amp;sourceID=30","71730")</f>
        <v>71730</v>
      </c>
      <c r="X183" s="4" t="str">
        <f>HYPERLINK("http://141.218.60.56/~jnz1568/getInfo.php?workbook=11_01.xlsx&amp;sheet=A0&amp;row=183&amp;col=24&amp;number=&amp;sourceID=30","")</f>
        <v/>
      </c>
      <c r="Y183" s="4" t="str">
        <f>HYPERLINK("http://141.218.60.56/~jnz1568/getInfo.php?workbook=11_01.xlsx&amp;sheet=A0&amp;row=183&amp;col=25&amp;number=&amp;sourceID=30","")</f>
        <v/>
      </c>
      <c r="Z183" s="4" t="str">
        <f>HYPERLINK("http://141.218.60.56/~jnz1568/getInfo.php?workbook=11_01.xlsx&amp;sheet=A0&amp;row=183&amp;col=26&amp;number=&amp;sourceID=13","")</f>
        <v/>
      </c>
      <c r="AA183" s="4" t="str">
        <f>HYPERLINK("http://141.218.60.56/~jnz1568/getInfo.php?workbook=11_01.xlsx&amp;sheet=A0&amp;row=183&amp;col=27&amp;number=&amp;sourceID=13","")</f>
        <v/>
      </c>
      <c r="AB183" s="4" t="str">
        <f>HYPERLINK("http://141.218.60.56/~jnz1568/getInfo.php?workbook=11_01.xlsx&amp;sheet=A0&amp;row=183&amp;col=28&amp;number=&amp;sourceID=13","")</f>
        <v/>
      </c>
      <c r="AC183" s="4" t="str">
        <f>HYPERLINK("http://141.218.60.56/~jnz1568/getInfo.php?workbook=11_01.xlsx&amp;sheet=A0&amp;row=183&amp;col=29&amp;number=&amp;sourceID=13","")</f>
        <v/>
      </c>
      <c r="AD183" s="4" t="str">
        <f>HYPERLINK("http://141.218.60.56/~jnz1568/getInfo.php?workbook=11_01.xlsx&amp;sheet=A0&amp;row=183&amp;col=30&amp;number=&amp;sourceID=13","")</f>
        <v/>
      </c>
      <c r="AE183" s="4" t="str">
        <f>HYPERLINK("http://141.218.60.56/~jnz1568/getInfo.php?workbook=11_01.xlsx&amp;sheet=A0&amp;row=183&amp;col=31&amp;number=&amp;sourceID=13","")</f>
        <v/>
      </c>
    </row>
    <row r="184" spans="1:31">
      <c r="A184" s="3">
        <v>11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HYPERLINK("http://141.218.60.56/~jnz1568/getInfo.php?workbook=11_01.xlsx&amp;sheet=A0&amp;row=184&amp;col=6&amp;number=&amp;sourceID=18","")</f>
        <v/>
      </c>
      <c r="G184" s="4" t="str">
        <f>HYPERLINK("http://141.218.60.56/~jnz1568/getInfo.php?workbook=11_01.xlsx&amp;sheet=A0&amp;row=184&amp;col=7&amp;number==&amp;sourceID=11","=")</f>
        <v>=</v>
      </c>
      <c r="H184" s="4" t="str">
        <f>HYPERLINK("http://141.218.60.56/~jnz1568/getInfo.php?workbook=11_01.xlsx&amp;sheet=A0&amp;row=184&amp;col=8&amp;number=&amp;sourceID=11","")</f>
        <v/>
      </c>
      <c r="I184" s="4" t="str">
        <f>HYPERLINK("http://141.218.60.56/~jnz1568/getInfo.php?workbook=11_01.xlsx&amp;sheet=A0&amp;row=184&amp;col=9&amp;number=1.6421e-08&amp;sourceID=11","1.6421e-08")</f>
        <v>1.6421e-08</v>
      </c>
      <c r="J184" s="4" t="str">
        <f>HYPERLINK("http://141.218.60.56/~jnz1568/getInfo.php?workbook=11_01.xlsx&amp;sheet=A0&amp;row=184&amp;col=10&amp;number=&amp;sourceID=11","")</f>
        <v/>
      </c>
      <c r="K184" s="4" t="str">
        <f>HYPERLINK("http://141.218.60.56/~jnz1568/getInfo.php?workbook=11_01.xlsx&amp;sheet=A0&amp;row=184&amp;col=11&amp;number=0.00036455&amp;sourceID=11","0.00036455")</f>
        <v>0.00036455</v>
      </c>
      <c r="L184" s="4" t="str">
        <f>HYPERLINK("http://141.218.60.56/~jnz1568/getInfo.php?workbook=11_01.xlsx&amp;sheet=A0&amp;row=184&amp;col=12&amp;number=&amp;sourceID=11","")</f>
        <v/>
      </c>
      <c r="M184" s="4" t="str">
        <f>HYPERLINK("http://141.218.60.56/~jnz1568/getInfo.php?workbook=11_01.xlsx&amp;sheet=A0&amp;row=184&amp;col=13&amp;number=&amp;sourceID=11","")</f>
        <v/>
      </c>
      <c r="N184" s="4" t="str">
        <f>HYPERLINK("http://141.218.60.56/~jnz1568/getInfo.php?workbook=11_01.xlsx&amp;sheet=A0&amp;row=184&amp;col=14&amp;number=0.0003646&amp;sourceID=12","0.0003646")</f>
        <v>0.0003646</v>
      </c>
      <c r="O184" s="4" t="str">
        <f>HYPERLINK("http://141.218.60.56/~jnz1568/getInfo.php?workbook=11_01.xlsx&amp;sheet=A0&amp;row=184&amp;col=15&amp;number=&amp;sourceID=12","")</f>
        <v/>
      </c>
      <c r="P184" s="4" t="str">
        <f>HYPERLINK("http://141.218.60.56/~jnz1568/getInfo.php?workbook=11_01.xlsx&amp;sheet=A0&amp;row=184&amp;col=16&amp;number=1.6423e-08&amp;sourceID=12","1.6423e-08")</f>
        <v>1.6423e-08</v>
      </c>
      <c r="Q184" s="4" t="str">
        <f>HYPERLINK("http://141.218.60.56/~jnz1568/getInfo.php?workbook=11_01.xlsx&amp;sheet=A0&amp;row=184&amp;col=17&amp;number=&amp;sourceID=12","")</f>
        <v/>
      </c>
      <c r="R184" s="4" t="str">
        <f>HYPERLINK("http://141.218.60.56/~jnz1568/getInfo.php?workbook=11_01.xlsx&amp;sheet=A0&amp;row=184&amp;col=18&amp;number=0.00036458&amp;sourceID=12","0.00036458")</f>
        <v>0.00036458</v>
      </c>
      <c r="S184" s="4" t="str">
        <f>HYPERLINK("http://141.218.60.56/~jnz1568/getInfo.php?workbook=11_01.xlsx&amp;sheet=A0&amp;row=184&amp;col=19&amp;number=&amp;sourceID=12","")</f>
        <v/>
      </c>
      <c r="T184" s="4" t="str">
        <f>HYPERLINK("http://141.218.60.56/~jnz1568/getInfo.php?workbook=11_01.xlsx&amp;sheet=A0&amp;row=184&amp;col=20&amp;number=&amp;sourceID=12","")</f>
        <v/>
      </c>
      <c r="U184" s="4" t="str">
        <f>HYPERLINK("http://141.218.60.56/~jnz1568/getInfo.php?workbook=11_01.xlsx&amp;sheet=A0&amp;row=184&amp;col=21&amp;number=0.00036461642&amp;sourceID=30","0.00036461642")</f>
        <v>0.00036461642</v>
      </c>
      <c r="V184" s="4" t="str">
        <f>HYPERLINK("http://141.218.60.56/~jnz1568/getInfo.php?workbook=11_01.xlsx&amp;sheet=A0&amp;row=184&amp;col=22&amp;number=&amp;sourceID=30","")</f>
        <v/>
      </c>
      <c r="W184" s="4" t="str">
        <f>HYPERLINK("http://141.218.60.56/~jnz1568/getInfo.php?workbook=11_01.xlsx&amp;sheet=A0&amp;row=184&amp;col=23&amp;number=1.642e-08&amp;sourceID=30","1.642e-08")</f>
        <v>1.642e-08</v>
      </c>
      <c r="X184" s="4" t="str">
        <f>HYPERLINK("http://141.218.60.56/~jnz1568/getInfo.php?workbook=11_01.xlsx&amp;sheet=A0&amp;row=184&amp;col=24&amp;number=0.0003646&amp;sourceID=30","0.0003646")</f>
        <v>0.0003646</v>
      </c>
      <c r="Y184" s="4" t="str">
        <f>HYPERLINK("http://141.218.60.56/~jnz1568/getInfo.php?workbook=11_01.xlsx&amp;sheet=A0&amp;row=184&amp;col=25&amp;number=&amp;sourceID=30","")</f>
        <v/>
      </c>
      <c r="Z184" s="4" t="str">
        <f>HYPERLINK("http://141.218.60.56/~jnz1568/getInfo.php?workbook=11_01.xlsx&amp;sheet=A0&amp;row=184&amp;col=26&amp;number=&amp;sourceID=13","")</f>
        <v/>
      </c>
      <c r="AA184" s="4" t="str">
        <f>HYPERLINK("http://141.218.60.56/~jnz1568/getInfo.php?workbook=11_01.xlsx&amp;sheet=A0&amp;row=184&amp;col=27&amp;number=&amp;sourceID=13","")</f>
        <v/>
      </c>
      <c r="AB184" s="4" t="str">
        <f>HYPERLINK("http://141.218.60.56/~jnz1568/getInfo.php?workbook=11_01.xlsx&amp;sheet=A0&amp;row=184&amp;col=28&amp;number=&amp;sourceID=13","")</f>
        <v/>
      </c>
      <c r="AC184" s="4" t="str">
        <f>HYPERLINK("http://141.218.60.56/~jnz1568/getInfo.php?workbook=11_01.xlsx&amp;sheet=A0&amp;row=184&amp;col=29&amp;number=&amp;sourceID=13","")</f>
        <v/>
      </c>
      <c r="AD184" s="4" t="str">
        <f>HYPERLINK("http://141.218.60.56/~jnz1568/getInfo.php?workbook=11_01.xlsx&amp;sheet=A0&amp;row=184&amp;col=30&amp;number=&amp;sourceID=13","")</f>
        <v/>
      </c>
      <c r="AE184" s="4" t="str">
        <f>HYPERLINK("http://141.218.60.56/~jnz1568/getInfo.php?workbook=11_01.xlsx&amp;sheet=A0&amp;row=184&amp;col=31&amp;number=&amp;sourceID=13","")</f>
        <v/>
      </c>
    </row>
    <row r="185" spans="1:31">
      <c r="A185" s="3">
        <v>11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HYPERLINK("http://141.218.60.56/~jnz1568/getInfo.php?workbook=11_01.xlsx&amp;sheet=A0&amp;row=185&amp;col=6&amp;number=&amp;sourceID=18","")</f>
        <v/>
      </c>
      <c r="G185" s="4" t="str">
        <f>HYPERLINK("http://141.218.60.56/~jnz1568/getInfo.php?workbook=11_01.xlsx&amp;sheet=A0&amp;row=185&amp;col=7&amp;number==&amp;sourceID=11","=")</f>
        <v>=</v>
      </c>
      <c r="H185" s="4" t="str">
        <f>HYPERLINK("http://141.218.60.56/~jnz1568/getInfo.php?workbook=11_01.xlsx&amp;sheet=A0&amp;row=185&amp;col=8&amp;number=305.21&amp;sourceID=11","305.21")</f>
        <v>305.21</v>
      </c>
      <c r="I185" s="4" t="str">
        <f>HYPERLINK("http://141.218.60.56/~jnz1568/getInfo.php?workbook=11_01.xlsx&amp;sheet=A0&amp;row=185&amp;col=9&amp;number=&amp;sourceID=11","")</f>
        <v/>
      </c>
      <c r="J185" s="4" t="str">
        <f>HYPERLINK("http://141.218.60.56/~jnz1568/getInfo.php?workbook=11_01.xlsx&amp;sheet=A0&amp;row=185&amp;col=10&amp;number=&amp;sourceID=11","")</f>
        <v/>
      </c>
      <c r="K185" s="4" t="str">
        <f>HYPERLINK("http://141.218.60.56/~jnz1568/getInfo.php?workbook=11_01.xlsx&amp;sheet=A0&amp;row=185&amp;col=11&amp;number=&amp;sourceID=11","")</f>
        <v/>
      </c>
      <c r="L185" s="4" t="str">
        <f>HYPERLINK("http://141.218.60.56/~jnz1568/getInfo.php?workbook=11_01.xlsx&amp;sheet=A0&amp;row=185&amp;col=12&amp;number=3.98e-13&amp;sourceID=11","3.98e-13")</f>
        <v>3.98e-13</v>
      </c>
      <c r="M185" s="4" t="str">
        <f>HYPERLINK("http://141.218.60.56/~jnz1568/getInfo.php?workbook=11_01.xlsx&amp;sheet=A0&amp;row=185&amp;col=13&amp;number=&amp;sourceID=11","")</f>
        <v/>
      </c>
      <c r="N185" s="4" t="str">
        <f>HYPERLINK("http://141.218.60.56/~jnz1568/getInfo.php?workbook=11_01.xlsx&amp;sheet=A0&amp;row=185&amp;col=14&amp;number=305.22&amp;sourceID=12","305.22")</f>
        <v>305.22</v>
      </c>
      <c r="O185" s="4" t="str">
        <f>HYPERLINK("http://141.218.60.56/~jnz1568/getInfo.php?workbook=11_01.xlsx&amp;sheet=A0&amp;row=185&amp;col=15&amp;number=305.22&amp;sourceID=12","305.22")</f>
        <v>305.22</v>
      </c>
      <c r="P185" s="4" t="str">
        <f>HYPERLINK("http://141.218.60.56/~jnz1568/getInfo.php?workbook=11_01.xlsx&amp;sheet=A0&amp;row=185&amp;col=16&amp;number=&amp;sourceID=12","")</f>
        <v/>
      </c>
      <c r="Q185" s="4" t="str">
        <f>HYPERLINK("http://141.218.60.56/~jnz1568/getInfo.php?workbook=11_01.xlsx&amp;sheet=A0&amp;row=185&amp;col=17&amp;number=&amp;sourceID=12","")</f>
        <v/>
      </c>
      <c r="R185" s="4" t="str">
        <f>HYPERLINK("http://141.218.60.56/~jnz1568/getInfo.php?workbook=11_01.xlsx&amp;sheet=A0&amp;row=185&amp;col=18&amp;number=&amp;sourceID=12","")</f>
        <v/>
      </c>
      <c r="S185" s="4" t="str">
        <f>HYPERLINK("http://141.218.60.56/~jnz1568/getInfo.php?workbook=11_01.xlsx&amp;sheet=A0&amp;row=185&amp;col=19&amp;number=3.98e-13&amp;sourceID=12","3.98e-13")</f>
        <v>3.98e-13</v>
      </c>
      <c r="T185" s="4" t="str">
        <f>HYPERLINK("http://141.218.60.56/~jnz1568/getInfo.php?workbook=11_01.xlsx&amp;sheet=A0&amp;row=185&amp;col=20&amp;number=&amp;sourceID=12","")</f>
        <v/>
      </c>
      <c r="U185" s="4" t="str">
        <f>HYPERLINK("http://141.218.60.56/~jnz1568/getInfo.php?workbook=11_01.xlsx&amp;sheet=A0&amp;row=185&amp;col=21&amp;number=305.2&amp;sourceID=30","305.2")</f>
        <v>305.2</v>
      </c>
      <c r="V185" s="4" t="str">
        <f>HYPERLINK("http://141.218.60.56/~jnz1568/getInfo.php?workbook=11_01.xlsx&amp;sheet=A0&amp;row=185&amp;col=22&amp;number=305.2&amp;sourceID=30","305.2")</f>
        <v>305.2</v>
      </c>
      <c r="W185" s="4" t="str">
        <f>HYPERLINK("http://141.218.60.56/~jnz1568/getInfo.php?workbook=11_01.xlsx&amp;sheet=A0&amp;row=185&amp;col=23&amp;number=&amp;sourceID=30","")</f>
        <v/>
      </c>
      <c r="X185" s="4" t="str">
        <f>HYPERLINK("http://141.218.60.56/~jnz1568/getInfo.php?workbook=11_01.xlsx&amp;sheet=A0&amp;row=185&amp;col=24&amp;number=&amp;sourceID=30","")</f>
        <v/>
      </c>
      <c r="Y185" s="4" t="str">
        <f>HYPERLINK("http://141.218.60.56/~jnz1568/getInfo.php?workbook=11_01.xlsx&amp;sheet=A0&amp;row=185&amp;col=25&amp;number=3.98e-13&amp;sourceID=30","3.98e-13")</f>
        <v>3.98e-13</v>
      </c>
      <c r="Z185" s="4" t="str">
        <f>HYPERLINK("http://141.218.60.56/~jnz1568/getInfo.php?workbook=11_01.xlsx&amp;sheet=A0&amp;row=185&amp;col=26&amp;number=&amp;sourceID=13","")</f>
        <v/>
      </c>
      <c r="AA185" s="4" t="str">
        <f>HYPERLINK("http://141.218.60.56/~jnz1568/getInfo.php?workbook=11_01.xlsx&amp;sheet=A0&amp;row=185&amp;col=27&amp;number=&amp;sourceID=13","")</f>
        <v/>
      </c>
      <c r="AB185" s="4" t="str">
        <f>HYPERLINK("http://141.218.60.56/~jnz1568/getInfo.php?workbook=11_01.xlsx&amp;sheet=A0&amp;row=185&amp;col=28&amp;number=&amp;sourceID=13","")</f>
        <v/>
      </c>
      <c r="AC185" s="4" t="str">
        <f>HYPERLINK("http://141.218.60.56/~jnz1568/getInfo.php?workbook=11_01.xlsx&amp;sheet=A0&amp;row=185&amp;col=29&amp;number=&amp;sourceID=13","")</f>
        <v/>
      </c>
      <c r="AD185" s="4" t="str">
        <f>HYPERLINK("http://141.218.60.56/~jnz1568/getInfo.php?workbook=11_01.xlsx&amp;sheet=A0&amp;row=185&amp;col=30&amp;number=&amp;sourceID=13","")</f>
        <v/>
      </c>
      <c r="AE185" s="4" t="str">
        <f>HYPERLINK("http://141.218.60.56/~jnz1568/getInfo.php?workbook=11_01.xlsx&amp;sheet=A0&amp;row=185&amp;col=31&amp;number=&amp;sourceID=13","")</f>
        <v/>
      </c>
    </row>
    <row r="186" spans="1:31">
      <c r="A186" s="3">
        <v>11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HYPERLINK("http://141.218.60.56/~jnz1568/getInfo.php?workbook=11_01.xlsx&amp;sheet=A0&amp;row=186&amp;col=6&amp;number=&amp;sourceID=18","")</f>
        <v/>
      </c>
      <c r="G186" s="4" t="str">
        <f>HYPERLINK("http://141.218.60.56/~jnz1568/getInfo.php?workbook=11_01.xlsx&amp;sheet=A0&amp;row=186&amp;col=7&amp;number==&amp;sourceID=11","=")</f>
        <v>=</v>
      </c>
      <c r="H186" s="4" t="str">
        <f>HYPERLINK("http://141.218.60.56/~jnz1568/getInfo.php?workbook=11_01.xlsx&amp;sheet=A0&amp;row=186&amp;col=8&amp;number=&amp;sourceID=11","")</f>
        <v/>
      </c>
      <c r="I186" s="4" t="str">
        <f>HYPERLINK("http://141.218.60.56/~jnz1568/getInfo.php?workbook=11_01.xlsx&amp;sheet=A0&amp;row=186&amp;col=9&amp;number=&amp;sourceID=11","")</f>
        <v/>
      </c>
      <c r="J186" s="4" t="str">
        <f>HYPERLINK("http://141.218.60.56/~jnz1568/getInfo.php?workbook=11_01.xlsx&amp;sheet=A0&amp;row=186&amp;col=10&amp;number=54803&amp;sourceID=11","54803")</f>
        <v>54803</v>
      </c>
      <c r="K186" s="4" t="str">
        <f>HYPERLINK("http://141.218.60.56/~jnz1568/getInfo.php?workbook=11_01.xlsx&amp;sheet=A0&amp;row=186&amp;col=11&amp;number=&amp;sourceID=11","")</f>
        <v/>
      </c>
      <c r="L186" s="4" t="str">
        <f>HYPERLINK("http://141.218.60.56/~jnz1568/getInfo.php?workbook=11_01.xlsx&amp;sheet=A0&amp;row=186&amp;col=12&amp;number=0.0044583&amp;sourceID=11","0.0044583")</f>
        <v>0.0044583</v>
      </c>
      <c r="M186" s="4" t="str">
        <f>HYPERLINK("http://141.218.60.56/~jnz1568/getInfo.php?workbook=11_01.xlsx&amp;sheet=A0&amp;row=186&amp;col=13&amp;number=&amp;sourceID=11","")</f>
        <v/>
      </c>
      <c r="N186" s="4" t="str">
        <f>HYPERLINK("http://141.218.60.56/~jnz1568/getInfo.php?workbook=11_01.xlsx&amp;sheet=A0&amp;row=186&amp;col=14&amp;number=54804&amp;sourceID=12","54804")</f>
        <v>54804</v>
      </c>
      <c r="O186" s="4" t="str">
        <f>HYPERLINK("http://141.218.60.56/~jnz1568/getInfo.php?workbook=11_01.xlsx&amp;sheet=A0&amp;row=186&amp;col=15&amp;number=&amp;sourceID=12","")</f>
        <v/>
      </c>
      <c r="P186" s="4" t="str">
        <f>HYPERLINK("http://141.218.60.56/~jnz1568/getInfo.php?workbook=11_01.xlsx&amp;sheet=A0&amp;row=186&amp;col=16&amp;number=&amp;sourceID=12","")</f>
        <v/>
      </c>
      <c r="Q186" s="4" t="str">
        <f>HYPERLINK("http://141.218.60.56/~jnz1568/getInfo.php?workbook=11_01.xlsx&amp;sheet=A0&amp;row=186&amp;col=17&amp;number=54804&amp;sourceID=12","54804")</f>
        <v>54804</v>
      </c>
      <c r="R186" s="4" t="str">
        <f>HYPERLINK("http://141.218.60.56/~jnz1568/getInfo.php?workbook=11_01.xlsx&amp;sheet=A0&amp;row=186&amp;col=18&amp;number=&amp;sourceID=12","")</f>
        <v/>
      </c>
      <c r="S186" s="4" t="str">
        <f>HYPERLINK("http://141.218.60.56/~jnz1568/getInfo.php?workbook=11_01.xlsx&amp;sheet=A0&amp;row=186&amp;col=19&amp;number=0.0044749&amp;sourceID=12","0.0044749")</f>
        <v>0.0044749</v>
      </c>
      <c r="T186" s="4" t="str">
        <f>HYPERLINK("http://141.218.60.56/~jnz1568/getInfo.php?workbook=11_01.xlsx&amp;sheet=A0&amp;row=186&amp;col=20&amp;number=&amp;sourceID=12","")</f>
        <v/>
      </c>
      <c r="U186" s="4" t="str">
        <f>HYPERLINK("http://141.218.60.56/~jnz1568/getInfo.php?workbook=11_01.xlsx&amp;sheet=A0&amp;row=186&amp;col=21&amp;number=0.004459&amp;sourceID=30","0.004459")</f>
        <v>0.004459</v>
      </c>
      <c r="V186" s="4" t="str">
        <f>HYPERLINK("http://141.218.60.56/~jnz1568/getInfo.php?workbook=11_01.xlsx&amp;sheet=A0&amp;row=186&amp;col=22&amp;number=&amp;sourceID=30","")</f>
        <v/>
      </c>
      <c r="W186" s="4" t="str">
        <f>HYPERLINK("http://141.218.60.56/~jnz1568/getInfo.php?workbook=11_01.xlsx&amp;sheet=A0&amp;row=186&amp;col=23&amp;number=&amp;sourceID=30","")</f>
        <v/>
      </c>
      <c r="X186" s="4" t="str">
        <f>HYPERLINK("http://141.218.60.56/~jnz1568/getInfo.php?workbook=11_01.xlsx&amp;sheet=A0&amp;row=186&amp;col=24&amp;number=&amp;sourceID=30","")</f>
        <v/>
      </c>
      <c r="Y186" s="4" t="str">
        <f>HYPERLINK("http://141.218.60.56/~jnz1568/getInfo.php?workbook=11_01.xlsx&amp;sheet=A0&amp;row=186&amp;col=25&amp;number=0.004459&amp;sourceID=30","0.004459")</f>
        <v>0.004459</v>
      </c>
      <c r="Z186" s="4" t="str">
        <f>HYPERLINK("http://141.218.60.56/~jnz1568/getInfo.php?workbook=11_01.xlsx&amp;sheet=A0&amp;row=186&amp;col=26&amp;number=&amp;sourceID=13","")</f>
        <v/>
      </c>
      <c r="AA186" s="4" t="str">
        <f>HYPERLINK("http://141.218.60.56/~jnz1568/getInfo.php?workbook=11_01.xlsx&amp;sheet=A0&amp;row=186&amp;col=27&amp;number=&amp;sourceID=13","")</f>
        <v/>
      </c>
      <c r="AB186" s="4" t="str">
        <f>HYPERLINK("http://141.218.60.56/~jnz1568/getInfo.php?workbook=11_01.xlsx&amp;sheet=A0&amp;row=186&amp;col=28&amp;number=&amp;sourceID=13","")</f>
        <v/>
      </c>
      <c r="AC186" s="4" t="str">
        <f>HYPERLINK("http://141.218.60.56/~jnz1568/getInfo.php?workbook=11_01.xlsx&amp;sheet=A0&amp;row=186&amp;col=29&amp;number=&amp;sourceID=13","")</f>
        <v/>
      </c>
      <c r="AD186" s="4" t="str">
        <f>HYPERLINK("http://141.218.60.56/~jnz1568/getInfo.php?workbook=11_01.xlsx&amp;sheet=A0&amp;row=186&amp;col=30&amp;number=&amp;sourceID=13","")</f>
        <v/>
      </c>
      <c r="AE186" s="4" t="str">
        <f>HYPERLINK("http://141.218.60.56/~jnz1568/getInfo.php?workbook=11_01.xlsx&amp;sheet=A0&amp;row=186&amp;col=31&amp;number=&amp;sourceID=13","")</f>
        <v/>
      </c>
    </row>
    <row r="187" spans="1:31">
      <c r="A187" s="3">
        <v>11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HYPERLINK("http://141.218.60.56/~jnz1568/getInfo.php?workbook=11_01.xlsx&amp;sheet=A0&amp;row=187&amp;col=6&amp;number=&amp;sourceID=18","")</f>
        <v/>
      </c>
      <c r="G187" s="4" t="str">
        <f>HYPERLINK("http://141.218.60.56/~jnz1568/getInfo.php?workbook=11_01.xlsx&amp;sheet=A0&amp;row=187&amp;col=7&amp;number==&amp;sourceID=11","=")</f>
        <v>=</v>
      </c>
      <c r="H187" s="4" t="str">
        <f>HYPERLINK("http://141.218.60.56/~jnz1568/getInfo.php?workbook=11_01.xlsx&amp;sheet=A0&amp;row=187&amp;col=8&amp;number=&amp;sourceID=11","")</f>
        <v/>
      </c>
      <c r="I187" s="4" t="str">
        <f>HYPERLINK("http://141.218.60.56/~jnz1568/getInfo.php?workbook=11_01.xlsx&amp;sheet=A0&amp;row=187&amp;col=9&amp;number=56964000&amp;sourceID=11","56964000")</f>
        <v>56964000</v>
      </c>
      <c r="J187" s="4" t="str">
        <f>HYPERLINK("http://141.218.60.56/~jnz1568/getInfo.php?workbook=11_01.xlsx&amp;sheet=A0&amp;row=187&amp;col=10&amp;number=&amp;sourceID=11","")</f>
        <v/>
      </c>
      <c r="K187" s="4" t="str">
        <f>HYPERLINK("http://141.218.60.56/~jnz1568/getInfo.php?workbook=11_01.xlsx&amp;sheet=A0&amp;row=187&amp;col=11&amp;number=&amp;sourceID=11","")</f>
        <v/>
      </c>
      <c r="L187" s="4" t="str">
        <f>HYPERLINK("http://141.218.60.56/~jnz1568/getInfo.php?workbook=11_01.xlsx&amp;sheet=A0&amp;row=187&amp;col=12&amp;number=&amp;sourceID=11","")</f>
        <v/>
      </c>
      <c r="M187" s="4" t="str">
        <f>HYPERLINK("http://141.218.60.56/~jnz1568/getInfo.php?workbook=11_01.xlsx&amp;sheet=A0&amp;row=187&amp;col=13&amp;number=0.11869&amp;sourceID=11","0.11869")</f>
        <v>0.11869</v>
      </c>
      <c r="N187" s="4" t="str">
        <f>HYPERLINK("http://141.218.60.56/~jnz1568/getInfo.php?workbook=11_01.xlsx&amp;sheet=A0&amp;row=187&amp;col=14&amp;number=56965000&amp;sourceID=12","56965000")</f>
        <v>56965000</v>
      </c>
      <c r="O187" s="4" t="str">
        <f>HYPERLINK("http://141.218.60.56/~jnz1568/getInfo.php?workbook=11_01.xlsx&amp;sheet=A0&amp;row=187&amp;col=15&amp;number=&amp;sourceID=12","")</f>
        <v/>
      </c>
      <c r="P187" s="4" t="str">
        <f>HYPERLINK("http://141.218.60.56/~jnz1568/getInfo.php?workbook=11_01.xlsx&amp;sheet=A0&amp;row=187&amp;col=16&amp;number=56965000&amp;sourceID=12","56965000")</f>
        <v>56965000</v>
      </c>
      <c r="Q187" s="4" t="str">
        <f>HYPERLINK("http://141.218.60.56/~jnz1568/getInfo.php?workbook=11_01.xlsx&amp;sheet=A0&amp;row=187&amp;col=17&amp;number=&amp;sourceID=12","")</f>
        <v/>
      </c>
      <c r="R187" s="4" t="str">
        <f>HYPERLINK("http://141.218.60.56/~jnz1568/getInfo.php?workbook=11_01.xlsx&amp;sheet=A0&amp;row=187&amp;col=18&amp;number=&amp;sourceID=12","")</f>
        <v/>
      </c>
      <c r="S187" s="4" t="str">
        <f>HYPERLINK("http://141.218.60.56/~jnz1568/getInfo.php?workbook=11_01.xlsx&amp;sheet=A0&amp;row=187&amp;col=19&amp;number=&amp;sourceID=12","")</f>
        <v/>
      </c>
      <c r="T187" s="4" t="str">
        <f>HYPERLINK("http://141.218.60.56/~jnz1568/getInfo.php?workbook=11_01.xlsx&amp;sheet=A0&amp;row=187&amp;col=20&amp;number=0.11869&amp;sourceID=12","0.11869")</f>
        <v>0.11869</v>
      </c>
      <c r="U187" s="4" t="str">
        <f>HYPERLINK("http://141.218.60.56/~jnz1568/getInfo.php?workbook=11_01.xlsx&amp;sheet=A0&amp;row=187&amp;col=21&amp;number=56960000&amp;sourceID=30","56960000")</f>
        <v>56960000</v>
      </c>
      <c r="V187" s="4" t="str">
        <f>HYPERLINK("http://141.218.60.56/~jnz1568/getInfo.php?workbook=11_01.xlsx&amp;sheet=A0&amp;row=187&amp;col=22&amp;number=&amp;sourceID=30","")</f>
        <v/>
      </c>
      <c r="W187" s="4" t="str">
        <f>HYPERLINK("http://141.218.60.56/~jnz1568/getInfo.php?workbook=11_01.xlsx&amp;sheet=A0&amp;row=187&amp;col=23&amp;number=56960000&amp;sourceID=30","56960000")</f>
        <v>56960000</v>
      </c>
      <c r="X187" s="4" t="str">
        <f>HYPERLINK("http://141.218.60.56/~jnz1568/getInfo.php?workbook=11_01.xlsx&amp;sheet=A0&amp;row=187&amp;col=24&amp;number=&amp;sourceID=30","")</f>
        <v/>
      </c>
      <c r="Y187" s="4" t="str">
        <f>HYPERLINK("http://141.218.60.56/~jnz1568/getInfo.php?workbook=11_01.xlsx&amp;sheet=A0&amp;row=187&amp;col=25&amp;number=&amp;sourceID=30","")</f>
        <v/>
      </c>
      <c r="Z187" s="4" t="str">
        <f>HYPERLINK("http://141.218.60.56/~jnz1568/getInfo.php?workbook=11_01.xlsx&amp;sheet=A0&amp;row=187&amp;col=26&amp;number=&amp;sourceID=13","")</f>
        <v/>
      </c>
      <c r="AA187" s="4" t="str">
        <f>HYPERLINK("http://141.218.60.56/~jnz1568/getInfo.php?workbook=11_01.xlsx&amp;sheet=A0&amp;row=187&amp;col=27&amp;number=&amp;sourceID=13","")</f>
        <v/>
      </c>
      <c r="AB187" s="4" t="str">
        <f>HYPERLINK("http://141.218.60.56/~jnz1568/getInfo.php?workbook=11_01.xlsx&amp;sheet=A0&amp;row=187&amp;col=28&amp;number=&amp;sourceID=13","")</f>
        <v/>
      </c>
      <c r="AC187" s="4" t="str">
        <f>HYPERLINK("http://141.218.60.56/~jnz1568/getInfo.php?workbook=11_01.xlsx&amp;sheet=A0&amp;row=187&amp;col=29&amp;number=&amp;sourceID=13","")</f>
        <v/>
      </c>
      <c r="AD187" s="4" t="str">
        <f>HYPERLINK("http://141.218.60.56/~jnz1568/getInfo.php?workbook=11_01.xlsx&amp;sheet=A0&amp;row=187&amp;col=30&amp;number=&amp;sourceID=13","")</f>
        <v/>
      </c>
      <c r="AE187" s="4" t="str">
        <f>HYPERLINK("http://141.218.60.56/~jnz1568/getInfo.php?workbook=11_01.xlsx&amp;sheet=A0&amp;row=187&amp;col=31&amp;number=&amp;sourceID=13","")</f>
        <v/>
      </c>
    </row>
    <row r="188" spans="1:31">
      <c r="A188" s="3">
        <v>11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HYPERLINK("http://141.218.60.56/~jnz1568/getInfo.php?workbook=11_01.xlsx&amp;sheet=A0&amp;row=188&amp;col=6&amp;number=&amp;sourceID=18","")</f>
        <v/>
      </c>
      <c r="G188" s="4" t="str">
        <f>HYPERLINK("http://141.218.60.56/~jnz1568/getInfo.php?workbook=11_01.xlsx&amp;sheet=A0&amp;row=188&amp;col=7&amp;number==&amp;sourceID=11","=")</f>
        <v>=</v>
      </c>
      <c r="H188" s="4" t="str">
        <f>HYPERLINK("http://141.218.60.56/~jnz1568/getInfo.php?workbook=11_01.xlsx&amp;sheet=A0&amp;row=188&amp;col=8&amp;number=&amp;sourceID=11","")</f>
        <v/>
      </c>
      <c r="I188" s="4" t="str">
        <f>HYPERLINK("http://141.218.60.56/~jnz1568/getInfo.php?workbook=11_01.xlsx&amp;sheet=A0&amp;row=188&amp;col=9&amp;number=&amp;sourceID=11","")</f>
        <v/>
      </c>
      <c r="J188" s="4" t="str">
        <f>HYPERLINK("http://141.218.60.56/~jnz1568/getInfo.php?workbook=11_01.xlsx&amp;sheet=A0&amp;row=188&amp;col=10&amp;number=15191&amp;sourceID=11","15191")</f>
        <v>15191</v>
      </c>
      <c r="K188" s="4" t="str">
        <f>HYPERLINK("http://141.218.60.56/~jnz1568/getInfo.php?workbook=11_01.xlsx&amp;sheet=A0&amp;row=188&amp;col=11&amp;number=&amp;sourceID=11","")</f>
        <v/>
      </c>
      <c r="L188" s="4" t="str">
        <f>HYPERLINK("http://141.218.60.56/~jnz1568/getInfo.php?workbook=11_01.xlsx&amp;sheet=A0&amp;row=188&amp;col=12&amp;number=0.00022723&amp;sourceID=11","0.00022723")</f>
        <v>0.00022723</v>
      </c>
      <c r="M188" s="4" t="str">
        <f>HYPERLINK("http://141.218.60.56/~jnz1568/getInfo.php?workbook=11_01.xlsx&amp;sheet=A0&amp;row=188&amp;col=13&amp;number=&amp;sourceID=11","")</f>
        <v/>
      </c>
      <c r="N188" s="4" t="str">
        <f>HYPERLINK("http://141.218.60.56/~jnz1568/getInfo.php?workbook=11_01.xlsx&amp;sheet=A0&amp;row=188&amp;col=14&amp;number=15191&amp;sourceID=12","15191")</f>
        <v>15191</v>
      </c>
      <c r="O188" s="4" t="str">
        <f>HYPERLINK("http://141.218.60.56/~jnz1568/getInfo.php?workbook=11_01.xlsx&amp;sheet=A0&amp;row=188&amp;col=15&amp;number=&amp;sourceID=12","")</f>
        <v/>
      </c>
      <c r="P188" s="4" t="str">
        <f>HYPERLINK("http://141.218.60.56/~jnz1568/getInfo.php?workbook=11_01.xlsx&amp;sheet=A0&amp;row=188&amp;col=16&amp;number=&amp;sourceID=12","")</f>
        <v/>
      </c>
      <c r="Q188" s="4" t="str">
        <f>HYPERLINK("http://141.218.60.56/~jnz1568/getInfo.php?workbook=11_01.xlsx&amp;sheet=A0&amp;row=188&amp;col=17&amp;number=15191&amp;sourceID=12","15191")</f>
        <v>15191</v>
      </c>
      <c r="R188" s="4" t="str">
        <f>HYPERLINK("http://141.218.60.56/~jnz1568/getInfo.php?workbook=11_01.xlsx&amp;sheet=A0&amp;row=188&amp;col=18&amp;number=&amp;sourceID=12","")</f>
        <v/>
      </c>
      <c r="S188" s="4" t="str">
        <f>HYPERLINK("http://141.218.60.56/~jnz1568/getInfo.php?workbook=11_01.xlsx&amp;sheet=A0&amp;row=188&amp;col=19&amp;number=0.00022745&amp;sourceID=12","0.00022745")</f>
        <v>0.00022745</v>
      </c>
      <c r="T188" s="4" t="str">
        <f>HYPERLINK("http://141.218.60.56/~jnz1568/getInfo.php?workbook=11_01.xlsx&amp;sheet=A0&amp;row=188&amp;col=20&amp;number=&amp;sourceID=12","")</f>
        <v/>
      </c>
      <c r="U188" s="4" t="str">
        <f>HYPERLINK("http://141.218.60.56/~jnz1568/getInfo.php?workbook=11_01.xlsx&amp;sheet=A0&amp;row=188&amp;col=21&amp;number=0.0002271&amp;sourceID=30","0.0002271")</f>
        <v>0.0002271</v>
      </c>
      <c r="V188" s="4" t="str">
        <f>HYPERLINK("http://141.218.60.56/~jnz1568/getInfo.php?workbook=11_01.xlsx&amp;sheet=A0&amp;row=188&amp;col=22&amp;number=&amp;sourceID=30","")</f>
        <v/>
      </c>
      <c r="W188" s="4" t="str">
        <f>HYPERLINK("http://141.218.60.56/~jnz1568/getInfo.php?workbook=11_01.xlsx&amp;sheet=A0&amp;row=188&amp;col=23&amp;number=&amp;sourceID=30","")</f>
        <v/>
      </c>
      <c r="X188" s="4" t="str">
        <f>HYPERLINK("http://141.218.60.56/~jnz1568/getInfo.php?workbook=11_01.xlsx&amp;sheet=A0&amp;row=188&amp;col=24&amp;number=&amp;sourceID=30","")</f>
        <v/>
      </c>
      <c r="Y188" s="4" t="str">
        <f>HYPERLINK("http://141.218.60.56/~jnz1568/getInfo.php?workbook=11_01.xlsx&amp;sheet=A0&amp;row=188&amp;col=25&amp;number=0.0002271&amp;sourceID=30","0.0002271")</f>
        <v>0.0002271</v>
      </c>
      <c r="Z188" s="4" t="str">
        <f>HYPERLINK("http://141.218.60.56/~jnz1568/getInfo.php?workbook=11_01.xlsx&amp;sheet=A0&amp;row=188&amp;col=26&amp;number=&amp;sourceID=13","")</f>
        <v/>
      </c>
      <c r="AA188" s="4" t="str">
        <f>HYPERLINK("http://141.218.60.56/~jnz1568/getInfo.php?workbook=11_01.xlsx&amp;sheet=A0&amp;row=188&amp;col=27&amp;number=&amp;sourceID=13","")</f>
        <v/>
      </c>
      <c r="AB188" s="4" t="str">
        <f>HYPERLINK("http://141.218.60.56/~jnz1568/getInfo.php?workbook=11_01.xlsx&amp;sheet=A0&amp;row=188&amp;col=28&amp;number=&amp;sourceID=13","")</f>
        <v/>
      </c>
      <c r="AC188" s="4" t="str">
        <f>HYPERLINK("http://141.218.60.56/~jnz1568/getInfo.php?workbook=11_01.xlsx&amp;sheet=A0&amp;row=188&amp;col=29&amp;number=&amp;sourceID=13","")</f>
        <v/>
      </c>
      <c r="AD188" s="4" t="str">
        <f>HYPERLINK("http://141.218.60.56/~jnz1568/getInfo.php?workbook=11_01.xlsx&amp;sheet=A0&amp;row=188&amp;col=30&amp;number=&amp;sourceID=13","")</f>
        <v/>
      </c>
      <c r="AE188" s="4" t="str">
        <f>HYPERLINK("http://141.218.60.56/~jnz1568/getInfo.php?workbook=11_01.xlsx&amp;sheet=A0&amp;row=188&amp;col=31&amp;number=&amp;sourceID=13","")</f>
        <v/>
      </c>
    </row>
    <row r="189" spans="1:31">
      <c r="A189" s="3">
        <v>11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HYPERLINK("http://141.218.60.56/~jnz1568/getInfo.php?workbook=11_01.xlsx&amp;sheet=A0&amp;row=189&amp;col=6&amp;number=&amp;sourceID=18","")</f>
        <v/>
      </c>
      <c r="G189" s="4" t="str">
        <f>HYPERLINK("http://141.218.60.56/~jnz1568/getInfo.php?workbook=11_01.xlsx&amp;sheet=A0&amp;row=189&amp;col=7&amp;number==&amp;sourceID=11","=")</f>
        <v>=</v>
      </c>
      <c r="H189" s="4" t="str">
        <f>HYPERLINK("http://141.218.60.56/~jnz1568/getInfo.php?workbook=11_01.xlsx&amp;sheet=A0&amp;row=189&amp;col=8&amp;number=&amp;sourceID=11","")</f>
        <v/>
      </c>
      <c r="I189" s="4" t="str">
        <f>HYPERLINK("http://141.218.60.56/~jnz1568/getInfo.php?workbook=11_01.xlsx&amp;sheet=A0&amp;row=189&amp;col=9&amp;number=16256000&amp;sourceID=11","16256000")</f>
        <v>16256000</v>
      </c>
      <c r="J189" s="4" t="str">
        <f>HYPERLINK("http://141.218.60.56/~jnz1568/getInfo.php?workbook=11_01.xlsx&amp;sheet=A0&amp;row=189&amp;col=10&amp;number=&amp;sourceID=11","")</f>
        <v/>
      </c>
      <c r="K189" s="4" t="str">
        <f>HYPERLINK("http://141.218.60.56/~jnz1568/getInfo.php?workbook=11_01.xlsx&amp;sheet=A0&amp;row=189&amp;col=11&amp;number=1.0035&amp;sourceID=11","1.0035")</f>
        <v>1.0035</v>
      </c>
      <c r="L189" s="4" t="str">
        <f>HYPERLINK("http://141.218.60.56/~jnz1568/getInfo.php?workbook=11_01.xlsx&amp;sheet=A0&amp;row=189&amp;col=12&amp;number=&amp;sourceID=11","")</f>
        <v/>
      </c>
      <c r="M189" s="4" t="str">
        <f>HYPERLINK("http://141.218.60.56/~jnz1568/getInfo.php?workbook=11_01.xlsx&amp;sheet=A0&amp;row=189&amp;col=13&amp;number=0.023652&amp;sourceID=11","0.023652")</f>
        <v>0.023652</v>
      </c>
      <c r="N189" s="4" t="str">
        <f>HYPERLINK("http://141.218.60.56/~jnz1568/getInfo.php?workbook=11_01.xlsx&amp;sheet=A0&amp;row=189&amp;col=14&amp;number=16256000&amp;sourceID=12","16256000")</f>
        <v>16256000</v>
      </c>
      <c r="O189" s="4" t="str">
        <f>HYPERLINK("http://141.218.60.56/~jnz1568/getInfo.php?workbook=11_01.xlsx&amp;sheet=A0&amp;row=189&amp;col=15&amp;number=&amp;sourceID=12","")</f>
        <v/>
      </c>
      <c r="P189" s="4" t="str">
        <f>HYPERLINK("http://141.218.60.56/~jnz1568/getInfo.php?workbook=11_01.xlsx&amp;sheet=A0&amp;row=189&amp;col=16&amp;number=16256000&amp;sourceID=12","16256000")</f>
        <v>16256000</v>
      </c>
      <c r="Q189" s="4" t="str">
        <f>HYPERLINK("http://141.218.60.56/~jnz1568/getInfo.php?workbook=11_01.xlsx&amp;sheet=A0&amp;row=189&amp;col=17&amp;number=&amp;sourceID=12","")</f>
        <v/>
      </c>
      <c r="R189" s="4" t="str">
        <f>HYPERLINK("http://141.218.60.56/~jnz1568/getInfo.php?workbook=11_01.xlsx&amp;sheet=A0&amp;row=189&amp;col=18&amp;number=1.0036&amp;sourceID=12","1.0036")</f>
        <v>1.0036</v>
      </c>
      <c r="S189" s="4" t="str">
        <f>HYPERLINK("http://141.218.60.56/~jnz1568/getInfo.php?workbook=11_01.xlsx&amp;sheet=A0&amp;row=189&amp;col=19&amp;number=&amp;sourceID=12","")</f>
        <v/>
      </c>
      <c r="T189" s="4" t="str">
        <f>HYPERLINK("http://141.218.60.56/~jnz1568/getInfo.php?workbook=11_01.xlsx&amp;sheet=A0&amp;row=189&amp;col=20&amp;number=0.023653&amp;sourceID=12","0.023653")</f>
        <v>0.023653</v>
      </c>
      <c r="U189" s="4" t="str">
        <f>HYPERLINK("http://141.218.60.56/~jnz1568/getInfo.php?workbook=11_01.xlsx&amp;sheet=A0&amp;row=189&amp;col=21&amp;number=16260001.003&amp;sourceID=30","16260001.003")</f>
        <v>16260001.003</v>
      </c>
      <c r="V189" s="4" t="str">
        <f>HYPERLINK("http://141.218.60.56/~jnz1568/getInfo.php?workbook=11_01.xlsx&amp;sheet=A0&amp;row=189&amp;col=22&amp;number=&amp;sourceID=30","")</f>
        <v/>
      </c>
      <c r="W189" s="4" t="str">
        <f>HYPERLINK("http://141.218.60.56/~jnz1568/getInfo.php?workbook=11_01.xlsx&amp;sheet=A0&amp;row=189&amp;col=23&amp;number=16260000&amp;sourceID=30","16260000")</f>
        <v>16260000</v>
      </c>
      <c r="X189" s="4" t="str">
        <f>HYPERLINK("http://141.218.60.56/~jnz1568/getInfo.php?workbook=11_01.xlsx&amp;sheet=A0&amp;row=189&amp;col=24&amp;number=1.003&amp;sourceID=30","1.003")</f>
        <v>1.003</v>
      </c>
      <c r="Y189" s="4" t="str">
        <f>HYPERLINK("http://141.218.60.56/~jnz1568/getInfo.php?workbook=11_01.xlsx&amp;sheet=A0&amp;row=189&amp;col=25&amp;number=&amp;sourceID=30","")</f>
        <v/>
      </c>
      <c r="Z189" s="4" t="str">
        <f>HYPERLINK("http://141.218.60.56/~jnz1568/getInfo.php?workbook=11_01.xlsx&amp;sheet=A0&amp;row=189&amp;col=26&amp;number=&amp;sourceID=13","")</f>
        <v/>
      </c>
      <c r="AA189" s="4" t="str">
        <f>HYPERLINK("http://141.218.60.56/~jnz1568/getInfo.php?workbook=11_01.xlsx&amp;sheet=A0&amp;row=189&amp;col=27&amp;number=&amp;sourceID=13","")</f>
        <v/>
      </c>
      <c r="AB189" s="4" t="str">
        <f>HYPERLINK("http://141.218.60.56/~jnz1568/getInfo.php?workbook=11_01.xlsx&amp;sheet=A0&amp;row=189&amp;col=28&amp;number=&amp;sourceID=13","")</f>
        <v/>
      </c>
      <c r="AC189" s="4" t="str">
        <f>HYPERLINK("http://141.218.60.56/~jnz1568/getInfo.php?workbook=11_01.xlsx&amp;sheet=A0&amp;row=189&amp;col=29&amp;number=&amp;sourceID=13","")</f>
        <v/>
      </c>
      <c r="AD189" s="4" t="str">
        <f>HYPERLINK("http://141.218.60.56/~jnz1568/getInfo.php?workbook=11_01.xlsx&amp;sheet=A0&amp;row=189&amp;col=30&amp;number=&amp;sourceID=13","")</f>
        <v/>
      </c>
      <c r="AE189" s="4" t="str">
        <f>HYPERLINK("http://141.218.60.56/~jnz1568/getInfo.php?workbook=11_01.xlsx&amp;sheet=A0&amp;row=189&amp;col=31&amp;number=&amp;sourceID=13","")</f>
        <v/>
      </c>
    </row>
    <row r="190" spans="1:31">
      <c r="A190" s="3">
        <v>11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HYPERLINK("http://141.218.60.56/~jnz1568/getInfo.php?workbook=11_01.xlsx&amp;sheet=A0&amp;row=190&amp;col=6&amp;number=&amp;sourceID=18","")</f>
        <v/>
      </c>
      <c r="G190" s="4" t="str">
        <f>HYPERLINK("http://141.218.60.56/~jnz1568/getInfo.php?workbook=11_01.xlsx&amp;sheet=A0&amp;row=190&amp;col=7&amp;number==&amp;sourceID=11","=")</f>
        <v>=</v>
      </c>
      <c r="H190" s="4" t="str">
        <f>HYPERLINK("http://141.218.60.56/~jnz1568/getInfo.php?workbook=11_01.xlsx&amp;sheet=A0&amp;row=190&amp;col=8&amp;number=&amp;sourceID=11","")</f>
        <v/>
      </c>
      <c r="I190" s="4" t="str">
        <f>HYPERLINK("http://141.218.60.56/~jnz1568/getInfo.php?workbook=11_01.xlsx&amp;sheet=A0&amp;row=190&amp;col=9&amp;number=40539&amp;sourceID=11","40539")</f>
        <v>40539</v>
      </c>
      <c r="J190" s="4" t="str">
        <f>HYPERLINK("http://141.218.60.56/~jnz1568/getInfo.php?workbook=11_01.xlsx&amp;sheet=A0&amp;row=190&amp;col=10&amp;number=&amp;sourceID=11","")</f>
        <v/>
      </c>
      <c r="K190" s="4" t="str">
        <f>HYPERLINK("http://141.218.60.56/~jnz1568/getInfo.php?workbook=11_01.xlsx&amp;sheet=A0&amp;row=190&amp;col=11&amp;number=&amp;sourceID=11","")</f>
        <v/>
      </c>
      <c r="L190" s="4" t="str">
        <f>HYPERLINK("http://141.218.60.56/~jnz1568/getInfo.php?workbook=11_01.xlsx&amp;sheet=A0&amp;row=190&amp;col=12&amp;number=&amp;sourceID=11","")</f>
        <v/>
      </c>
      <c r="M190" s="4" t="str">
        <f>HYPERLINK("http://141.218.60.56/~jnz1568/getInfo.php?workbook=11_01.xlsx&amp;sheet=A0&amp;row=190&amp;col=13&amp;number=9.6498e-06&amp;sourceID=11","9.6498e-06")</f>
        <v>9.6498e-06</v>
      </c>
      <c r="N190" s="4" t="str">
        <f>HYPERLINK("http://141.218.60.56/~jnz1568/getInfo.php?workbook=11_01.xlsx&amp;sheet=A0&amp;row=190&amp;col=14&amp;number=40540&amp;sourceID=12","40540")</f>
        <v>40540</v>
      </c>
      <c r="O190" s="4" t="str">
        <f>HYPERLINK("http://141.218.60.56/~jnz1568/getInfo.php?workbook=11_01.xlsx&amp;sheet=A0&amp;row=190&amp;col=15&amp;number=&amp;sourceID=12","")</f>
        <v/>
      </c>
      <c r="P190" s="4" t="str">
        <f>HYPERLINK("http://141.218.60.56/~jnz1568/getInfo.php?workbook=11_01.xlsx&amp;sheet=A0&amp;row=190&amp;col=16&amp;number=40540&amp;sourceID=12","40540")</f>
        <v>40540</v>
      </c>
      <c r="Q190" s="4" t="str">
        <f>HYPERLINK("http://141.218.60.56/~jnz1568/getInfo.php?workbook=11_01.xlsx&amp;sheet=A0&amp;row=190&amp;col=17&amp;number=&amp;sourceID=12","")</f>
        <v/>
      </c>
      <c r="R190" s="4" t="str">
        <f>HYPERLINK("http://141.218.60.56/~jnz1568/getInfo.php?workbook=11_01.xlsx&amp;sheet=A0&amp;row=190&amp;col=18&amp;number=&amp;sourceID=12","")</f>
        <v/>
      </c>
      <c r="S190" s="4" t="str">
        <f>HYPERLINK("http://141.218.60.56/~jnz1568/getInfo.php?workbook=11_01.xlsx&amp;sheet=A0&amp;row=190&amp;col=19&amp;number=&amp;sourceID=12","")</f>
        <v/>
      </c>
      <c r="T190" s="4" t="str">
        <f>HYPERLINK("http://141.218.60.56/~jnz1568/getInfo.php?workbook=11_01.xlsx&amp;sheet=A0&amp;row=190&amp;col=20&amp;number=9.65e-06&amp;sourceID=12","9.65e-06")</f>
        <v>9.65e-06</v>
      </c>
      <c r="U190" s="4" t="str">
        <f>HYPERLINK("http://141.218.60.56/~jnz1568/getInfo.php?workbook=11_01.xlsx&amp;sheet=A0&amp;row=190&amp;col=21&amp;number=40540&amp;sourceID=30","40540")</f>
        <v>40540</v>
      </c>
      <c r="V190" s="4" t="str">
        <f>HYPERLINK("http://141.218.60.56/~jnz1568/getInfo.php?workbook=11_01.xlsx&amp;sheet=A0&amp;row=190&amp;col=22&amp;number=&amp;sourceID=30","")</f>
        <v/>
      </c>
      <c r="W190" s="4" t="str">
        <f>HYPERLINK("http://141.218.60.56/~jnz1568/getInfo.php?workbook=11_01.xlsx&amp;sheet=A0&amp;row=190&amp;col=23&amp;number=40540&amp;sourceID=30","40540")</f>
        <v>40540</v>
      </c>
      <c r="X190" s="4" t="str">
        <f>HYPERLINK("http://141.218.60.56/~jnz1568/getInfo.php?workbook=11_01.xlsx&amp;sheet=A0&amp;row=190&amp;col=24&amp;number=&amp;sourceID=30","")</f>
        <v/>
      </c>
      <c r="Y190" s="4" t="str">
        <f>HYPERLINK("http://141.218.60.56/~jnz1568/getInfo.php?workbook=11_01.xlsx&amp;sheet=A0&amp;row=190&amp;col=25&amp;number=&amp;sourceID=30","")</f>
        <v/>
      </c>
      <c r="Z190" s="4" t="str">
        <f>HYPERLINK("http://141.218.60.56/~jnz1568/getInfo.php?workbook=11_01.xlsx&amp;sheet=A0&amp;row=190&amp;col=26&amp;number=&amp;sourceID=13","")</f>
        <v/>
      </c>
      <c r="AA190" s="4" t="str">
        <f>HYPERLINK("http://141.218.60.56/~jnz1568/getInfo.php?workbook=11_01.xlsx&amp;sheet=A0&amp;row=190&amp;col=27&amp;number=&amp;sourceID=13","")</f>
        <v/>
      </c>
      <c r="AB190" s="4" t="str">
        <f>HYPERLINK("http://141.218.60.56/~jnz1568/getInfo.php?workbook=11_01.xlsx&amp;sheet=A0&amp;row=190&amp;col=28&amp;number=&amp;sourceID=13","")</f>
        <v/>
      </c>
      <c r="AC190" s="4" t="str">
        <f>HYPERLINK("http://141.218.60.56/~jnz1568/getInfo.php?workbook=11_01.xlsx&amp;sheet=A0&amp;row=190&amp;col=29&amp;number=&amp;sourceID=13","")</f>
        <v/>
      </c>
      <c r="AD190" s="4" t="str">
        <f>HYPERLINK("http://141.218.60.56/~jnz1568/getInfo.php?workbook=11_01.xlsx&amp;sheet=A0&amp;row=190&amp;col=30&amp;number=&amp;sourceID=13","")</f>
        <v/>
      </c>
      <c r="AE190" s="4" t="str">
        <f>HYPERLINK("http://141.218.60.56/~jnz1568/getInfo.php?workbook=11_01.xlsx&amp;sheet=A0&amp;row=190&amp;col=31&amp;number=&amp;sourceID=13","")</f>
        <v/>
      </c>
    </row>
    <row r="191" spans="1:31">
      <c r="A191" s="3">
        <v>11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HYPERLINK("http://141.218.60.56/~jnz1568/getInfo.php?workbook=11_01.xlsx&amp;sheet=A0&amp;row=191&amp;col=6&amp;number=&amp;sourceID=18","")</f>
        <v/>
      </c>
      <c r="G191" s="4" t="str">
        <f>HYPERLINK("http://141.218.60.56/~jnz1568/getInfo.php?workbook=11_01.xlsx&amp;sheet=A0&amp;row=191&amp;col=7&amp;number==&amp;sourceID=11","=")</f>
        <v>=</v>
      </c>
      <c r="H191" s="4" t="str">
        <f>HYPERLINK("http://141.218.60.56/~jnz1568/getInfo.php?workbook=11_01.xlsx&amp;sheet=A0&amp;row=191&amp;col=8&amp;number=&amp;sourceID=11","")</f>
        <v/>
      </c>
      <c r="I191" s="4" t="str">
        <f>HYPERLINK("http://141.218.60.56/~jnz1568/getInfo.php?workbook=11_01.xlsx&amp;sheet=A0&amp;row=191&amp;col=9&amp;number=&amp;sourceID=11","")</f>
        <v/>
      </c>
      <c r="J191" s="4" t="str">
        <f>HYPERLINK("http://141.218.60.56/~jnz1568/getInfo.php?workbook=11_01.xlsx&amp;sheet=A0&amp;row=191&amp;col=10&amp;number=226.49&amp;sourceID=11","226.49")</f>
        <v>226.49</v>
      </c>
      <c r="K191" s="4" t="str">
        <f>HYPERLINK("http://141.218.60.56/~jnz1568/getInfo.php?workbook=11_01.xlsx&amp;sheet=A0&amp;row=191&amp;col=11&amp;number=&amp;sourceID=11","")</f>
        <v/>
      </c>
      <c r="L191" s="4" t="str">
        <f>HYPERLINK("http://141.218.60.56/~jnz1568/getInfo.php?workbook=11_01.xlsx&amp;sheet=A0&amp;row=191&amp;col=12&amp;number=2.6384e-07&amp;sourceID=11","2.6384e-07")</f>
        <v>2.6384e-07</v>
      </c>
      <c r="M191" s="4" t="str">
        <f>HYPERLINK("http://141.218.60.56/~jnz1568/getInfo.php?workbook=11_01.xlsx&amp;sheet=A0&amp;row=191&amp;col=13&amp;number=&amp;sourceID=11","")</f>
        <v/>
      </c>
      <c r="N191" s="4" t="str">
        <f>HYPERLINK("http://141.218.60.56/~jnz1568/getInfo.php?workbook=11_01.xlsx&amp;sheet=A0&amp;row=191&amp;col=14&amp;number=226.49&amp;sourceID=12","226.49")</f>
        <v>226.49</v>
      </c>
      <c r="O191" s="4" t="str">
        <f>HYPERLINK("http://141.218.60.56/~jnz1568/getInfo.php?workbook=11_01.xlsx&amp;sheet=A0&amp;row=191&amp;col=15&amp;number=&amp;sourceID=12","")</f>
        <v/>
      </c>
      <c r="P191" s="4" t="str">
        <f>HYPERLINK("http://141.218.60.56/~jnz1568/getInfo.php?workbook=11_01.xlsx&amp;sheet=A0&amp;row=191&amp;col=16&amp;number=&amp;sourceID=12","")</f>
        <v/>
      </c>
      <c r="Q191" s="4" t="str">
        <f>HYPERLINK("http://141.218.60.56/~jnz1568/getInfo.php?workbook=11_01.xlsx&amp;sheet=A0&amp;row=191&amp;col=17&amp;number=226.49&amp;sourceID=12","226.49")</f>
        <v>226.49</v>
      </c>
      <c r="R191" s="4" t="str">
        <f>HYPERLINK("http://141.218.60.56/~jnz1568/getInfo.php?workbook=11_01.xlsx&amp;sheet=A0&amp;row=191&amp;col=18&amp;number=&amp;sourceID=12","")</f>
        <v/>
      </c>
      <c r="S191" s="4" t="str">
        <f>HYPERLINK("http://141.218.60.56/~jnz1568/getInfo.php?workbook=11_01.xlsx&amp;sheet=A0&amp;row=191&amp;col=19&amp;number=2.6387e-07&amp;sourceID=12","2.6387e-07")</f>
        <v>2.6387e-07</v>
      </c>
      <c r="T191" s="4" t="str">
        <f>HYPERLINK("http://141.218.60.56/~jnz1568/getInfo.php?workbook=11_01.xlsx&amp;sheet=A0&amp;row=191&amp;col=20&amp;number=&amp;sourceID=12","")</f>
        <v/>
      </c>
      <c r="U191" s="4" t="str">
        <f>HYPERLINK("http://141.218.60.56/~jnz1568/getInfo.php?workbook=11_01.xlsx&amp;sheet=A0&amp;row=191&amp;col=21&amp;number=2.65e-07&amp;sourceID=30","2.65e-07")</f>
        <v>2.65e-07</v>
      </c>
      <c r="V191" s="4" t="str">
        <f>HYPERLINK("http://141.218.60.56/~jnz1568/getInfo.php?workbook=11_01.xlsx&amp;sheet=A0&amp;row=191&amp;col=22&amp;number=&amp;sourceID=30","")</f>
        <v/>
      </c>
      <c r="W191" s="4" t="str">
        <f>HYPERLINK("http://141.218.60.56/~jnz1568/getInfo.php?workbook=11_01.xlsx&amp;sheet=A0&amp;row=191&amp;col=23&amp;number=&amp;sourceID=30","")</f>
        <v/>
      </c>
      <c r="X191" s="4" t="str">
        <f>HYPERLINK("http://141.218.60.56/~jnz1568/getInfo.php?workbook=11_01.xlsx&amp;sheet=A0&amp;row=191&amp;col=24&amp;number=&amp;sourceID=30","")</f>
        <v/>
      </c>
      <c r="Y191" s="4" t="str">
        <f>HYPERLINK("http://141.218.60.56/~jnz1568/getInfo.php?workbook=11_01.xlsx&amp;sheet=A0&amp;row=191&amp;col=25&amp;number=2.65e-07&amp;sourceID=30","2.65e-07")</f>
        <v>2.65e-07</v>
      </c>
      <c r="Z191" s="4" t="str">
        <f>HYPERLINK("http://141.218.60.56/~jnz1568/getInfo.php?workbook=11_01.xlsx&amp;sheet=A0&amp;row=191&amp;col=26&amp;number=&amp;sourceID=13","")</f>
        <v/>
      </c>
      <c r="AA191" s="4" t="str">
        <f>HYPERLINK("http://141.218.60.56/~jnz1568/getInfo.php?workbook=11_01.xlsx&amp;sheet=A0&amp;row=191&amp;col=27&amp;number=&amp;sourceID=13","")</f>
        <v/>
      </c>
      <c r="AB191" s="4" t="str">
        <f>HYPERLINK("http://141.218.60.56/~jnz1568/getInfo.php?workbook=11_01.xlsx&amp;sheet=A0&amp;row=191&amp;col=28&amp;number=&amp;sourceID=13","")</f>
        <v/>
      </c>
      <c r="AC191" s="4" t="str">
        <f>HYPERLINK("http://141.218.60.56/~jnz1568/getInfo.php?workbook=11_01.xlsx&amp;sheet=A0&amp;row=191&amp;col=29&amp;number=&amp;sourceID=13","")</f>
        <v/>
      </c>
      <c r="AD191" s="4" t="str">
        <f>HYPERLINK("http://141.218.60.56/~jnz1568/getInfo.php?workbook=11_01.xlsx&amp;sheet=A0&amp;row=191&amp;col=30&amp;number=&amp;sourceID=13","")</f>
        <v/>
      </c>
      <c r="AE191" s="4" t="str">
        <f>HYPERLINK("http://141.218.60.56/~jnz1568/getInfo.php?workbook=11_01.xlsx&amp;sheet=A0&amp;row=191&amp;col=31&amp;number=&amp;sourceID=13","")</f>
        <v/>
      </c>
    </row>
    <row r="192" spans="1:31">
      <c r="A192" s="3">
        <v>11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HYPERLINK("http://141.218.60.56/~jnz1568/getInfo.php?workbook=11_01.xlsx&amp;sheet=A0&amp;row=192&amp;col=6&amp;number=&amp;sourceID=18","")</f>
        <v/>
      </c>
      <c r="G192" s="4" t="str">
        <f>HYPERLINK("http://141.218.60.56/~jnz1568/getInfo.php?workbook=11_01.xlsx&amp;sheet=A0&amp;row=192&amp;col=7&amp;number==&amp;sourceID=11","=")</f>
        <v>=</v>
      </c>
      <c r="H192" s="4" t="str">
        <f>HYPERLINK("http://141.218.60.56/~jnz1568/getInfo.php?workbook=11_01.xlsx&amp;sheet=A0&amp;row=192&amp;col=8&amp;number=62181000000&amp;sourceID=11","62181000000")</f>
        <v>62181000000</v>
      </c>
      <c r="I192" s="4" t="str">
        <f>HYPERLINK("http://141.218.60.56/~jnz1568/getInfo.php?workbook=11_01.xlsx&amp;sheet=A0&amp;row=192&amp;col=9&amp;number=&amp;sourceID=11","")</f>
        <v/>
      </c>
      <c r="J192" s="4" t="str">
        <f>HYPERLINK("http://141.218.60.56/~jnz1568/getInfo.php?workbook=11_01.xlsx&amp;sheet=A0&amp;row=192&amp;col=10&amp;number=5.9579&amp;sourceID=11","5.9579")</f>
        <v>5.9579</v>
      </c>
      <c r="K192" s="4" t="str">
        <f>HYPERLINK("http://141.218.60.56/~jnz1568/getInfo.php?workbook=11_01.xlsx&amp;sheet=A0&amp;row=192&amp;col=11&amp;number=&amp;sourceID=11","")</f>
        <v/>
      </c>
      <c r="L192" s="4" t="str">
        <f>HYPERLINK("http://141.218.60.56/~jnz1568/getInfo.php?workbook=11_01.xlsx&amp;sheet=A0&amp;row=192&amp;col=12&amp;number=145.79&amp;sourceID=11","145.79")</f>
        <v>145.79</v>
      </c>
      <c r="M192" s="4" t="str">
        <f>HYPERLINK("http://141.218.60.56/~jnz1568/getInfo.php?workbook=11_01.xlsx&amp;sheet=A0&amp;row=192&amp;col=13&amp;number=&amp;sourceID=11","")</f>
        <v/>
      </c>
      <c r="N192" s="4" t="str">
        <f>HYPERLINK("http://141.218.60.56/~jnz1568/getInfo.php?workbook=11_01.xlsx&amp;sheet=A0&amp;row=192&amp;col=14&amp;number=62183000000&amp;sourceID=12","62183000000")</f>
        <v>62183000000</v>
      </c>
      <c r="O192" s="4" t="str">
        <f>HYPERLINK("http://141.218.60.56/~jnz1568/getInfo.php?workbook=11_01.xlsx&amp;sheet=A0&amp;row=192&amp;col=15&amp;number=62183000000&amp;sourceID=12","62183000000")</f>
        <v>62183000000</v>
      </c>
      <c r="P192" s="4" t="str">
        <f>HYPERLINK("http://141.218.60.56/~jnz1568/getInfo.php?workbook=11_01.xlsx&amp;sheet=A0&amp;row=192&amp;col=16&amp;number=&amp;sourceID=12","")</f>
        <v/>
      </c>
      <c r="Q192" s="4" t="str">
        <f>HYPERLINK("http://141.218.60.56/~jnz1568/getInfo.php?workbook=11_01.xlsx&amp;sheet=A0&amp;row=192&amp;col=17&amp;number=5.958&amp;sourceID=12","5.958")</f>
        <v>5.958</v>
      </c>
      <c r="R192" s="4" t="str">
        <f>HYPERLINK("http://141.218.60.56/~jnz1568/getInfo.php?workbook=11_01.xlsx&amp;sheet=A0&amp;row=192&amp;col=18&amp;number=&amp;sourceID=12","")</f>
        <v/>
      </c>
      <c r="S192" s="4" t="str">
        <f>HYPERLINK("http://141.218.60.56/~jnz1568/getInfo.php?workbook=11_01.xlsx&amp;sheet=A0&amp;row=192&amp;col=19&amp;number=145.79&amp;sourceID=12","145.79")</f>
        <v>145.79</v>
      </c>
      <c r="T192" s="4" t="str">
        <f>HYPERLINK("http://141.218.60.56/~jnz1568/getInfo.php?workbook=11_01.xlsx&amp;sheet=A0&amp;row=192&amp;col=20&amp;number=&amp;sourceID=12","")</f>
        <v/>
      </c>
      <c r="U192" s="4" t="str">
        <f>HYPERLINK("http://141.218.60.56/~jnz1568/getInfo.php?workbook=11_01.xlsx&amp;sheet=A0&amp;row=192&amp;col=21&amp;number=62180000145.8&amp;sourceID=30","62180000145.8")</f>
        <v>62180000145.8</v>
      </c>
      <c r="V192" s="4" t="str">
        <f>HYPERLINK("http://141.218.60.56/~jnz1568/getInfo.php?workbook=11_01.xlsx&amp;sheet=A0&amp;row=192&amp;col=22&amp;number=62180000000&amp;sourceID=30","62180000000")</f>
        <v>62180000000</v>
      </c>
      <c r="W192" s="4" t="str">
        <f>HYPERLINK("http://141.218.60.56/~jnz1568/getInfo.php?workbook=11_01.xlsx&amp;sheet=A0&amp;row=192&amp;col=23&amp;number=&amp;sourceID=30","")</f>
        <v/>
      </c>
      <c r="X192" s="4" t="str">
        <f>HYPERLINK("http://141.218.60.56/~jnz1568/getInfo.php?workbook=11_01.xlsx&amp;sheet=A0&amp;row=192&amp;col=24&amp;number=&amp;sourceID=30","")</f>
        <v/>
      </c>
      <c r="Y192" s="4" t="str">
        <f>HYPERLINK("http://141.218.60.56/~jnz1568/getInfo.php?workbook=11_01.xlsx&amp;sheet=A0&amp;row=192&amp;col=25&amp;number=145.8&amp;sourceID=30","145.8")</f>
        <v>145.8</v>
      </c>
      <c r="Z192" s="4" t="str">
        <f>HYPERLINK("http://141.218.60.56/~jnz1568/getInfo.php?workbook=11_01.xlsx&amp;sheet=A0&amp;row=192&amp;col=26&amp;number=&amp;sourceID=13","")</f>
        <v/>
      </c>
      <c r="AA192" s="4" t="str">
        <f>HYPERLINK("http://141.218.60.56/~jnz1568/getInfo.php?workbook=11_01.xlsx&amp;sheet=A0&amp;row=192&amp;col=27&amp;number=&amp;sourceID=13","")</f>
        <v/>
      </c>
      <c r="AB192" s="4" t="str">
        <f>HYPERLINK("http://141.218.60.56/~jnz1568/getInfo.php?workbook=11_01.xlsx&amp;sheet=A0&amp;row=192&amp;col=28&amp;number=&amp;sourceID=13","")</f>
        <v/>
      </c>
      <c r="AC192" s="4" t="str">
        <f>HYPERLINK("http://141.218.60.56/~jnz1568/getInfo.php?workbook=11_01.xlsx&amp;sheet=A0&amp;row=192&amp;col=29&amp;number=&amp;sourceID=13","")</f>
        <v/>
      </c>
      <c r="AD192" s="4" t="str">
        <f>HYPERLINK("http://141.218.60.56/~jnz1568/getInfo.php?workbook=11_01.xlsx&amp;sheet=A0&amp;row=192&amp;col=30&amp;number=&amp;sourceID=13","")</f>
        <v/>
      </c>
      <c r="AE192" s="4" t="str">
        <f>HYPERLINK("http://141.218.60.56/~jnz1568/getInfo.php?workbook=11_01.xlsx&amp;sheet=A0&amp;row=192&amp;col=31&amp;number=&amp;sourceID=13","")</f>
        <v/>
      </c>
    </row>
    <row r="193" spans="1:31">
      <c r="A193" s="3">
        <v>11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HYPERLINK("http://141.218.60.56/~jnz1568/getInfo.php?workbook=11_01.xlsx&amp;sheet=A0&amp;row=193&amp;col=6&amp;number=&amp;sourceID=18","")</f>
        <v/>
      </c>
      <c r="G193" s="4" t="str">
        <f>HYPERLINK("http://141.218.60.56/~jnz1568/getInfo.php?workbook=11_01.xlsx&amp;sheet=A0&amp;row=193&amp;col=7&amp;number==&amp;sourceID=11","=")</f>
        <v>=</v>
      </c>
      <c r="H193" s="4" t="str">
        <f>HYPERLINK("http://141.218.60.56/~jnz1568/getInfo.php?workbook=11_01.xlsx&amp;sheet=A0&amp;row=193&amp;col=8&amp;number=&amp;sourceID=11","")</f>
        <v/>
      </c>
      <c r="I193" s="4" t="str">
        <f>HYPERLINK("http://141.218.60.56/~jnz1568/getInfo.php?workbook=11_01.xlsx&amp;sheet=A0&amp;row=193&amp;col=9&amp;number=10362&amp;sourceID=11","10362")</f>
        <v>10362</v>
      </c>
      <c r="J193" s="4" t="str">
        <f>HYPERLINK("http://141.218.60.56/~jnz1568/getInfo.php?workbook=11_01.xlsx&amp;sheet=A0&amp;row=193&amp;col=10&amp;number=&amp;sourceID=11","")</f>
        <v/>
      </c>
      <c r="K193" s="4" t="str">
        <f>HYPERLINK("http://141.218.60.56/~jnz1568/getInfo.php?workbook=11_01.xlsx&amp;sheet=A0&amp;row=193&amp;col=11&amp;number=0.017682&amp;sourceID=11","0.017682")</f>
        <v>0.017682</v>
      </c>
      <c r="L193" s="4" t="str">
        <f>HYPERLINK("http://141.218.60.56/~jnz1568/getInfo.php?workbook=11_01.xlsx&amp;sheet=A0&amp;row=193&amp;col=12&amp;number=&amp;sourceID=11","")</f>
        <v/>
      </c>
      <c r="M193" s="4" t="str">
        <f>HYPERLINK("http://141.218.60.56/~jnz1568/getInfo.php?workbook=11_01.xlsx&amp;sheet=A0&amp;row=193&amp;col=13&amp;number=1.7246e-06&amp;sourceID=11","1.7246e-06")</f>
        <v>1.7246e-06</v>
      </c>
      <c r="N193" s="4" t="str">
        <f>HYPERLINK("http://141.218.60.56/~jnz1568/getInfo.php?workbook=11_01.xlsx&amp;sheet=A0&amp;row=193&amp;col=14&amp;number=10362&amp;sourceID=12","10362")</f>
        <v>10362</v>
      </c>
      <c r="O193" s="4" t="str">
        <f>HYPERLINK("http://141.218.60.56/~jnz1568/getInfo.php?workbook=11_01.xlsx&amp;sheet=A0&amp;row=193&amp;col=15&amp;number=&amp;sourceID=12","")</f>
        <v/>
      </c>
      <c r="P193" s="4" t="str">
        <f>HYPERLINK("http://141.218.60.56/~jnz1568/getInfo.php?workbook=11_01.xlsx&amp;sheet=A0&amp;row=193&amp;col=16&amp;number=10362&amp;sourceID=12","10362")</f>
        <v>10362</v>
      </c>
      <c r="Q193" s="4" t="str">
        <f>HYPERLINK("http://141.218.60.56/~jnz1568/getInfo.php?workbook=11_01.xlsx&amp;sheet=A0&amp;row=193&amp;col=17&amp;number=&amp;sourceID=12","")</f>
        <v/>
      </c>
      <c r="R193" s="4" t="str">
        <f>HYPERLINK("http://141.218.60.56/~jnz1568/getInfo.php?workbook=11_01.xlsx&amp;sheet=A0&amp;row=193&amp;col=18&amp;number=0.017682&amp;sourceID=12","0.017682")</f>
        <v>0.017682</v>
      </c>
      <c r="S193" s="4" t="str">
        <f>HYPERLINK("http://141.218.60.56/~jnz1568/getInfo.php?workbook=11_01.xlsx&amp;sheet=A0&amp;row=193&amp;col=19&amp;number=&amp;sourceID=12","")</f>
        <v/>
      </c>
      <c r="T193" s="4" t="str">
        <f>HYPERLINK("http://141.218.60.56/~jnz1568/getInfo.php?workbook=11_01.xlsx&amp;sheet=A0&amp;row=193&amp;col=20&amp;number=1.7246e-06&amp;sourceID=12","1.7246e-06")</f>
        <v>1.7246e-06</v>
      </c>
      <c r="U193" s="4" t="str">
        <f>HYPERLINK("http://141.218.60.56/~jnz1568/getInfo.php?workbook=11_01.xlsx&amp;sheet=A0&amp;row=193&amp;col=21&amp;number=10360.01769&amp;sourceID=30","10360.01769")</f>
        <v>10360.01769</v>
      </c>
      <c r="V193" s="4" t="str">
        <f>HYPERLINK("http://141.218.60.56/~jnz1568/getInfo.php?workbook=11_01.xlsx&amp;sheet=A0&amp;row=193&amp;col=22&amp;number=&amp;sourceID=30","")</f>
        <v/>
      </c>
      <c r="W193" s="4" t="str">
        <f>HYPERLINK("http://141.218.60.56/~jnz1568/getInfo.php?workbook=11_01.xlsx&amp;sheet=A0&amp;row=193&amp;col=23&amp;number=10360&amp;sourceID=30","10360")</f>
        <v>10360</v>
      </c>
      <c r="X193" s="4" t="str">
        <f>HYPERLINK("http://141.218.60.56/~jnz1568/getInfo.php?workbook=11_01.xlsx&amp;sheet=A0&amp;row=193&amp;col=24&amp;number=0.01769&amp;sourceID=30","0.01769")</f>
        <v>0.01769</v>
      </c>
      <c r="Y193" s="4" t="str">
        <f>HYPERLINK("http://141.218.60.56/~jnz1568/getInfo.php?workbook=11_01.xlsx&amp;sheet=A0&amp;row=193&amp;col=25&amp;number=&amp;sourceID=30","")</f>
        <v/>
      </c>
      <c r="Z193" s="4" t="str">
        <f>HYPERLINK("http://141.218.60.56/~jnz1568/getInfo.php?workbook=11_01.xlsx&amp;sheet=A0&amp;row=193&amp;col=26&amp;number=&amp;sourceID=13","")</f>
        <v/>
      </c>
      <c r="AA193" s="4" t="str">
        <f>HYPERLINK("http://141.218.60.56/~jnz1568/getInfo.php?workbook=11_01.xlsx&amp;sheet=A0&amp;row=193&amp;col=27&amp;number=&amp;sourceID=13","")</f>
        <v/>
      </c>
      <c r="AB193" s="4" t="str">
        <f>HYPERLINK("http://141.218.60.56/~jnz1568/getInfo.php?workbook=11_01.xlsx&amp;sheet=A0&amp;row=193&amp;col=28&amp;number=&amp;sourceID=13","")</f>
        <v/>
      </c>
      <c r="AC193" s="4" t="str">
        <f>HYPERLINK("http://141.218.60.56/~jnz1568/getInfo.php?workbook=11_01.xlsx&amp;sheet=A0&amp;row=193&amp;col=29&amp;number=&amp;sourceID=13","")</f>
        <v/>
      </c>
      <c r="AD193" s="4" t="str">
        <f>HYPERLINK("http://141.218.60.56/~jnz1568/getInfo.php?workbook=11_01.xlsx&amp;sheet=A0&amp;row=193&amp;col=30&amp;number=&amp;sourceID=13","")</f>
        <v/>
      </c>
      <c r="AE193" s="4" t="str">
        <f>HYPERLINK("http://141.218.60.56/~jnz1568/getInfo.php?workbook=11_01.xlsx&amp;sheet=A0&amp;row=193&amp;col=31&amp;number=&amp;sourceID=13","")</f>
        <v/>
      </c>
    </row>
    <row r="194" spans="1:31">
      <c r="A194" s="3">
        <v>11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HYPERLINK("http://141.218.60.56/~jnz1568/getInfo.php?workbook=11_01.xlsx&amp;sheet=A0&amp;row=194&amp;col=6&amp;number=&amp;sourceID=18","")</f>
        <v/>
      </c>
      <c r="G194" s="4" t="str">
        <f>HYPERLINK("http://141.218.60.56/~jnz1568/getInfo.php?workbook=11_01.xlsx&amp;sheet=A0&amp;row=194&amp;col=7&amp;number==&amp;sourceID=11","=")</f>
        <v>=</v>
      </c>
      <c r="H194" s="4" t="str">
        <f>HYPERLINK("http://141.218.60.56/~jnz1568/getInfo.php?workbook=11_01.xlsx&amp;sheet=A0&amp;row=194&amp;col=8&amp;number=4431700000&amp;sourceID=11","4431700000")</f>
        <v>4431700000</v>
      </c>
      <c r="I194" s="4" t="str">
        <f>HYPERLINK("http://141.218.60.56/~jnz1568/getInfo.php?workbook=11_01.xlsx&amp;sheet=A0&amp;row=194&amp;col=9&amp;number=&amp;sourceID=11","")</f>
        <v/>
      </c>
      <c r="J194" s="4" t="str">
        <f>HYPERLINK("http://141.218.60.56/~jnz1568/getInfo.php?workbook=11_01.xlsx&amp;sheet=A0&amp;row=194&amp;col=10&amp;number=4.0149&amp;sourceID=11","4.0149")</f>
        <v>4.0149</v>
      </c>
      <c r="K194" s="4" t="str">
        <f>HYPERLINK("http://141.218.60.56/~jnz1568/getInfo.php?workbook=11_01.xlsx&amp;sheet=A0&amp;row=194&amp;col=11&amp;number=&amp;sourceID=11","")</f>
        <v/>
      </c>
      <c r="L194" s="4" t="str">
        <f>HYPERLINK("http://141.218.60.56/~jnz1568/getInfo.php?workbook=11_01.xlsx&amp;sheet=A0&amp;row=194&amp;col=12&amp;number=&amp;sourceID=11","")</f>
        <v/>
      </c>
      <c r="M194" s="4" t="str">
        <f>HYPERLINK("http://141.218.60.56/~jnz1568/getInfo.php?workbook=11_01.xlsx&amp;sheet=A0&amp;row=194&amp;col=13&amp;number=&amp;sourceID=11","")</f>
        <v/>
      </c>
      <c r="N194" s="4" t="str">
        <f>HYPERLINK("http://141.218.60.56/~jnz1568/getInfo.php?workbook=11_01.xlsx&amp;sheet=A0&amp;row=194&amp;col=14&amp;number=4431800000&amp;sourceID=12","4431800000")</f>
        <v>4431800000</v>
      </c>
      <c r="O194" s="4" t="str">
        <f>HYPERLINK("http://141.218.60.56/~jnz1568/getInfo.php?workbook=11_01.xlsx&amp;sheet=A0&amp;row=194&amp;col=15&amp;number=4431800000&amp;sourceID=12","4431800000")</f>
        <v>4431800000</v>
      </c>
      <c r="P194" s="4" t="str">
        <f>HYPERLINK("http://141.218.60.56/~jnz1568/getInfo.php?workbook=11_01.xlsx&amp;sheet=A0&amp;row=194&amp;col=16&amp;number=&amp;sourceID=12","")</f>
        <v/>
      </c>
      <c r="Q194" s="4" t="str">
        <f>HYPERLINK("http://141.218.60.56/~jnz1568/getInfo.php?workbook=11_01.xlsx&amp;sheet=A0&amp;row=194&amp;col=17&amp;number=4.015&amp;sourceID=12","4.015")</f>
        <v>4.015</v>
      </c>
      <c r="R194" s="4" t="str">
        <f>HYPERLINK("http://141.218.60.56/~jnz1568/getInfo.php?workbook=11_01.xlsx&amp;sheet=A0&amp;row=194&amp;col=18&amp;number=&amp;sourceID=12","")</f>
        <v/>
      </c>
      <c r="S194" s="4" t="str">
        <f>HYPERLINK("http://141.218.60.56/~jnz1568/getInfo.php?workbook=11_01.xlsx&amp;sheet=A0&amp;row=194&amp;col=19&amp;number=&amp;sourceID=12","")</f>
        <v/>
      </c>
      <c r="T194" s="4" t="str">
        <f>HYPERLINK("http://141.218.60.56/~jnz1568/getInfo.php?workbook=11_01.xlsx&amp;sheet=A0&amp;row=194&amp;col=20&amp;number=&amp;sourceID=12","")</f>
        <v/>
      </c>
      <c r="U194" s="4" t="str">
        <f>HYPERLINK("http://141.218.60.56/~jnz1568/getInfo.php?workbook=11_01.xlsx&amp;sheet=A0&amp;row=194&amp;col=21&amp;number=4432000000&amp;sourceID=30","4432000000")</f>
        <v>4432000000</v>
      </c>
      <c r="V194" s="4" t="str">
        <f>HYPERLINK("http://141.218.60.56/~jnz1568/getInfo.php?workbook=11_01.xlsx&amp;sheet=A0&amp;row=194&amp;col=22&amp;number=4432000000&amp;sourceID=30","4432000000")</f>
        <v>4432000000</v>
      </c>
      <c r="W194" s="4" t="str">
        <f>HYPERLINK("http://141.218.60.56/~jnz1568/getInfo.php?workbook=11_01.xlsx&amp;sheet=A0&amp;row=194&amp;col=23&amp;number=&amp;sourceID=30","")</f>
        <v/>
      </c>
      <c r="X194" s="4" t="str">
        <f>HYPERLINK("http://141.218.60.56/~jnz1568/getInfo.php?workbook=11_01.xlsx&amp;sheet=A0&amp;row=194&amp;col=24&amp;number=&amp;sourceID=30","")</f>
        <v/>
      </c>
      <c r="Y194" s="4" t="str">
        <f>HYPERLINK("http://141.218.60.56/~jnz1568/getInfo.php?workbook=11_01.xlsx&amp;sheet=A0&amp;row=194&amp;col=25&amp;number=&amp;sourceID=30","")</f>
        <v/>
      </c>
      <c r="Z194" s="4" t="str">
        <f>HYPERLINK("http://141.218.60.56/~jnz1568/getInfo.php?workbook=11_01.xlsx&amp;sheet=A0&amp;row=194&amp;col=26&amp;number=&amp;sourceID=13","")</f>
        <v/>
      </c>
      <c r="AA194" s="4" t="str">
        <f>HYPERLINK("http://141.218.60.56/~jnz1568/getInfo.php?workbook=11_01.xlsx&amp;sheet=A0&amp;row=194&amp;col=27&amp;number=&amp;sourceID=13","")</f>
        <v/>
      </c>
      <c r="AB194" s="4" t="str">
        <f>HYPERLINK("http://141.218.60.56/~jnz1568/getInfo.php?workbook=11_01.xlsx&amp;sheet=A0&amp;row=194&amp;col=28&amp;number=&amp;sourceID=13","")</f>
        <v/>
      </c>
      <c r="AC194" s="4" t="str">
        <f>HYPERLINK("http://141.218.60.56/~jnz1568/getInfo.php?workbook=11_01.xlsx&amp;sheet=A0&amp;row=194&amp;col=29&amp;number=&amp;sourceID=13","")</f>
        <v/>
      </c>
      <c r="AD194" s="4" t="str">
        <f>HYPERLINK("http://141.218.60.56/~jnz1568/getInfo.php?workbook=11_01.xlsx&amp;sheet=A0&amp;row=194&amp;col=30&amp;number=&amp;sourceID=13","")</f>
        <v/>
      </c>
      <c r="AE194" s="4" t="str">
        <f>HYPERLINK("http://141.218.60.56/~jnz1568/getInfo.php?workbook=11_01.xlsx&amp;sheet=A0&amp;row=194&amp;col=31&amp;number=&amp;sourceID=13","")</f>
        <v/>
      </c>
    </row>
    <row r="195" spans="1:31">
      <c r="A195" s="3">
        <v>11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HYPERLINK("http://141.218.60.56/~jnz1568/getInfo.php?workbook=11_01.xlsx&amp;sheet=A0&amp;row=195&amp;col=6&amp;number=&amp;sourceID=18","")</f>
        <v/>
      </c>
      <c r="G195" s="4" t="str">
        <f>HYPERLINK("http://141.218.60.56/~jnz1568/getInfo.php?workbook=11_01.xlsx&amp;sheet=A0&amp;row=195&amp;col=7&amp;number==&amp;sourceID=11","=")</f>
        <v>=</v>
      </c>
      <c r="H195" s="4" t="str">
        <f>HYPERLINK("http://141.218.60.56/~jnz1568/getInfo.php?workbook=11_01.xlsx&amp;sheet=A0&amp;row=195&amp;col=8&amp;number=&amp;sourceID=11","")</f>
        <v/>
      </c>
      <c r="I195" s="4" t="str">
        <f>HYPERLINK("http://141.218.60.56/~jnz1568/getInfo.php?workbook=11_01.xlsx&amp;sheet=A0&amp;row=195&amp;col=9&amp;number=1302100&amp;sourceID=11","1302100")</f>
        <v>1302100</v>
      </c>
      <c r="J195" s="4" t="str">
        <f>HYPERLINK("http://141.218.60.56/~jnz1568/getInfo.php?workbook=11_01.xlsx&amp;sheet=A0&amp;row=195&amp;col=10&amp;number=&amp;sourceID=11","")</f>
        <v/>
      </c>
      <c r="K195" s="4" t="str">
        <f>HYPERLINK("http://141.218.60.56/~jnz1568/getInfo.php?workbook=11_01.xlsx&amp;sheet=A0&amp;row=195&amp;col=11&amp;number=&amp;sourceID=11","")</f>
        <v/>
      </c>
      <c r="L195" s="4" t="str">
        <f>HYPERLINK("http://141.218.60.56/~jnz1568/getInfo.php?workbook=11_01.xlsx&amp;sheet=A0&amp;row=195&amp;col=12&amp;number=&amp;sourceID=11","")</f>
        <v/>
      </c>
      <c r="M195" s="4" t="str">
        <f>HYPERLINK("http://141.218.60.56/~jnz1568/getInfo.php?workbook=11_01.xlsx&amp;sheet=A0&amp;row=195&amp;col=13&amp;number=3.1221e-05&amp;sourceID=11","3.1221e-05")</f>
        <v>3.1221e-05</v>
      </c>
      <c r="N195" s="4" t="str">
        <f>HYPERLINK("http://141.218.60.56/~jnz1568/getInfo.php?workbook=11_01.xlsx&amp;sheet=A0&amp;row=195&amp;col=14&amp;number=1302100&amp;sourceID=12","1302100")</f>
        <v>1302100</v>
      </c>
      <c r="O195" s="4" t="str">
        <f>HYPERLINK("http://141.218.60.56/~jnz1568/getInfo.php?workbook=11_01.xlsx&amp;sheet=A0&amp;row=195&amp;col=15&amp;number=&amp;sourceID=12","")</f>
        <v/>
      </c>
      <c r="P195" s="4" t="str">
        <f>HYPERLINK("http://141.218.60.56/~jnz1568/getInfo.php?workbook=11_01.xlsx&amp;sheet=A0&amp;row=195&amp;col=16&amp;number=1302100&amp;sourceID=12","1302100")</f>
        <v>1302100</v>
      </c>
      <c r="Q195" s="4" t="str">
        <f>HYPERLINK("http://141.218.60.56/~jnz1568/getInfo.php?workbook=11_01.xlsx&amp;sheet=A0&amp;row=195&amp;col=17&amp;number=&amp;sourceID=12","")</f>
        <v/>
      </c>
      <c r="R195" s="4" t="str">
        <f>HYPERLINK("http://141.218.60.56/~jnz1568/getInfo.php?workbook=11_01.xlsx&amp;sheet=A0&amp;row=195&amp;col=18&amp;number=&amp;sourceID=12","")</f>
        <v/>
      </c>
      <c r="S195" s="4" t="str">
        <f>HYPERLINK("http://141.218.60.56/~jnz1568/getInfo.php?workbook=11_01.xlsx&amp;sheet=A0&amp;row=195&amp;col=19&amp;number=&amp;sourceID=12","")</f>
        <v/>
      </c>
      <c r="T195" s="4" t="str">
        <f>HYPERLINK("http://141.218.60.56/~jnz1568/getInfo.php?workbook=11_01.xlsx&amp;sheet=A0&amp;row=195&amp;col=20&amp;number=3.1222e-05&amp;sourceID=12","3.1222e-05")</f>
        <v>3.1222e-05</v>
      </c>
      <c r="U195" s="4" t="str">
        <f>HYPERLINK("http://141.218.60.56/~jnz1568/getInfo.php?workbook=11_01.xlsx&amp;sheet=A0&amp;row=195&amp;col=21&amp;number=1302000&amp;sourceID=30","1302000")</f>
        <v>1302000</v>
      </c>
      <c r="V195" s="4" t="str">
        <f>HYPERLINK("http://141.218.60.56/~jnz1568/getInfo.php?workbook=11_01.xlsx&amp;sheet=A0&amp;row=195&amp;col=22&amp;number=&amp;sourceID=30","")</f>
        <v/>
      </c>
      <c r="W195" s="4" t="str">
        <f>HYPERLINK("http://141.218.60.56/~jnz1568/getInfo.php?workbook=11_01.xlsx&amp;sheet=A0&amp;row=195&amp;col=23&amp;number=1302000&amp;sourceID=30","1302000")</f>
        <v>1302000</v>
      </c>
      <c r="X195" s="4" t="str">
        <f>HYPERLINK("http://141.218.60.56/~jnz1568/getInfo.php?workbook=11_01.xlsx&amp;sheet=A0&amp;row=195&amp;col=24&amp;number=&amp;sourceID=30","")</f>
        <v/>
      </c>
      <c r="Y195" s="4" t="str">
        <f>HYPERLINK("http://141.218.60.56/~jnz1568/getInfo.php?workbook=11_01.xlsx&amp;sheet=A0&amp;row=195&amp;col=25&amp;number=&amp;sourceID=30","")</f>
        <v/>
      </c>
      <c r="Z195" s="4" t="str">
        <f>HYPERLINK("http://141.218.60.56/~jnz1568/getInfo.php?workbook=11_01.xlsx&amp;sheet=A0&amp;row=195&amp;col=26&amp;number=&amp;sourceID=13","")</f>
        <v/>
      </c>
      <c r="AA195" s="4" t="str">
        <f>HYPERLINK("http://141.218.60.56/~jnz1568/getInfo.php?workbook=11_01.xlsx&amp;sheet=A0&amp;row=195&amp;col=27&amp;number=&amp;sourceID=13","")</f>
        <v/>
      </c>
      <c r="AB195" s="4" t="str">
        <f>HYPERLINK("http://141.218.60.56/~jnz1568/getInfo.php?workbook=11_01.xlsx&amp;sheet=A0&amp;row=195&amp;col=28&amp;number=&amp;sourceID=13","")</f>
        <v/>
      </c>
      <c r="AC195" s="4" t="str">
        <f>HYPERLINK("http://141.218.60.56/~jnz1568/getInfo.php?workbook=11_01.xlsx&amp;sheet=A0&amp;row=195&amp;col=29&amp;number=&amp;sourceID=13","")</f>
        <v/>
      </c>
      <c r="AD195" s="4" t="str">
        <f>HYPERLINK("http://141.218.60.56/~jnz1568/getInfo.php?workbook=11_01.xlsx&amp;sheet=A0&amp;row=195&amp;col=30&amp;number=&amp;sourceID=13","")</f>
        <v/>
      </c>
      <c r="AE195" s="4" t="str">
        <f>HYPERLINK("http://141.218.60.56/~jnz1568/getInfo.php?workbook=11_01.xlsx&amp;sheet=A0&amp;row=195&amp;col=31&amp;number=&amp;sourceID=13","")</f>
        <v/>
      </c>
    </row>
    <row r="196" spans="1:31">
      <c r="A196" s="3">
        <v>11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HYPERLINK("http://141.218.60.56/~jnz1568/getInfo.php?workbook=11_01.xlsx&amp;sheet=A0&amp;row=196&amp;col=6&amp;number=&amp;sourceID=18","")</f>
        <v/>
      </c>
      <c r="G196" s="4" t="str">
        <f>HYPERLINK("http://141.218.60.56/~jnz1568/getInfo.php?workbook=11_01.xlsx&amp;sheet=A0&amp;row=196&amp;col=7&amp;number==&amp;sourceID=11","=")</f>
        <v>=</v>
      </c>
      <c r="H196" s="4" t="str">
        <f>HYPERLINK("http://141.218.60.56/~jnz1568/getInfo.php?workbook=11_01.xlsx&amp;sheet=A0&amp;row=196&amp;col=8&amp;number=&amp;sourceID=11","")</f>
        <v/>
      </c>
      <c r="I196" s="4" t="str">
        <f>HYPERLINK("http://141.218.60.56/~jnz1568/getInfo.php?workbook=11_01.xlsx&amp;sheet=A0&amp;row=196&amp;col=9&amp;number=&amp;sourceID=11","")</f>
        <v/>
      </c>
      <c r="J196" s="4" t="str">
        <f>HYPERLINK("http://141.218.60.56/~jnz1568/getInfo.php?workbook=11_01.xlsx&amp;sheet=A0&amp;row=196&amp;col=10&amp;number=27.013&amp;sourceID=11","27.013")</f>
        <v>27.013</v>
      </c>
      <c r="K196" s="4" t="str">
        <f>HYPERLINK("http://141.218.60.56/~jnz1568/getInfo.php?workbook=11_01.xlsx&amp;sheet=A0&amp;row=196&amp;col=11&amp;number=&amp;sourceID=11","")</f>
        <v/>
      </c>
      <c r="L196" s="4" t="str">
        <f>HYPERLINK("http://141.218.60.56/~jnz1568/getInfo.php?workbook=11_01.xlsx&amp;sheet=A0&amp;row=196&amp;col=12&amp;number=2.0501e-08&amp;sourceID=11","2.0501e-08")</f>
        <v>2.0501e-08</v>
      </c>
      <c r="M196" s="4" t="str">
        <f>HYPERLINK("http://141.218.60.56/~jnz1568/getInfo.php?workbook=11_01.xlsx&amp;sheet=A0&amp;row=196&amp;col=13&amp;number=&amp;sourceID=11","")</f>
        <v/>
      </c>
      <c r="N196" s="4" t="str">
        <f>HYPERLINK("http://141.218.60.56/~jnz1568/getInfo.php?workbook=11_01.xlsx&amp;sheet=A0&amp;row=196&amp;col=14&amp;number=27.014&amp;sourceID=12","27.014")</f>
        <v>27.014</v>
      </c>
      <c r="O196" s="4" t="str">
        <f>HYPERLINK("http://141.218.60.56/~jnz1568/getInfo.php?workbook=11_01.xlsx&amp;sheet=A0&amp;row=196&amp;col=15&amp;number=&amp;sourceID=12","")</f>
        <v/>
      </c>
      <c r="P196" s="4" t="str">
        <f>HYPERLINK("http://141.218.60.56/~jnz1568/getInfo.php?workbook=11_01.xlsx&amp;sheet=A0&amp;row=196&amp;col=16&amp;number=&amp;sourceID=12","")</f>
        <v/>
      </c>
      <c r="Q196" s="4" t="str">
        <f>HYPERLINK("http://141.218.60.56/~jnz1568/getInfo.php?workbook=11_01.xlsx&amp;sheet=A0&amp;row=196&amp;col=17&amp;number=27.014&amp;sourceID=12","27.014")</f>
        <v>27.014</v>
      </c>
      <c r="R196" s="4" t="str">
        <f>HYPERLINK("http://141.218.60.56/~jnz1568/getInfo.php?workbook=11_01.xlsx&amp;sheet=A0&amp;row=196&amp;col=18&amp;number=&amp;sourceID=12","")</f>
        <v/>
      </c>
      <c r="S196" s="4" t="str">
        <f>HYPERLINK("http://141.218.60.56/~jnz1568/getInfo.php?workbook=11_01.xlsx&amp;sheet=A0&amp;row=196&amp;col=19&amp;number=2.0502e-08&amp;sourceID=12","2.0502e-08")</f>
        <v>2.0502e-08</v>
      </c>
      <c r="T196" s="4" t="str">
        <f>HYPERLINK("http://141.218.60.56/~jnz1568/getInfo.php?workbook=11_01.xlsx&amp;sheet=A0&amp;row=196&amp;col=20&amp;number=&amp;sourceID=12","")</f>
        <v/>
      </c>
      <c r="U196" s="4" t="str">
        <f>HYPERLINK("http://141.218.60.56/~jnz1568/getInfo.php?workbook=11_01.xlsx&amp;sheet=A0&amp;row=196&amp;col=21&amp;number=2.049e-08&amp;sourceID=30","2.049e-08")</f>
        <v>2.049e-08</v>
      </c>
      <c r="V196" s="4" t="str">
        <f>HYPERLINK("http://141.218.60.56/~jnz1568/getInfo.php?workbook=11_01.xlsx&amp;sheet=A0&amp;row=196&amp;col=22&amp;number=&amp;sourceID=30","")</f>
        <v/>
      </c>
      <c r="W196" s="4" t="str">
        <f>HYPERLINK("http://141.218.60.56/~jnz1568/getInfo.php?workbook=11_01.xlsx&amp;sheet=A0&amp;row=196&amp;col=23&amp;number=&amp;sourceID=30","")</f>
        <v/>
      </c>
      <c r="X196" s="4" t="str">
        <f>HYPERLINK("http://141.218.60.56/~jnz1568/getInfo.php?workbook=11_01.xlsx&amp;sheet=A0&amp;row=196&amp;col=24&amp;number=&amp;sourceID=30","")</f>
        <v/>
      </c>
      <c r="Y196" s="4" t="str">
        <f>HYPERLINK("http://141.218.60.56/~jnz1568/getInfo.php?workbook=11_01.xlsx&amp;sheet=A0&amp;row=196&amp;col=25&amp;number=2.049e-08&amp;sourceID=30","2.049e-08")</f>
        <v>2.049e-08</v>
      </c>
      <c r="Z196" s="4" t="str">
        <f>HYPERLINK("http://141.218.60.56/~jnz1568/getInfo.php?workbook=11_01.xlsx&amp;sheet=A0&amp;row=196&amp;col=26&amp;number=&amp;sourceID=13","")</f>
        <v/>
      </c>
      <c r="AA196" s="4" t="str">
        <f>HYPERLINK("http://141.218.60.56/~jnz1568/getInfo.php?workbook=11_01.xlsx&amp;sheet=A0&amp;row=196&amp;col=27&amp;number=&amp;sourceID=13","")</f>
        <v/>
      </c>
      <c r="AB196" s="4" t="str">
        <f>HYPERLINK("http://141.218.60.56/~jnz1568/getInfo.php?workbook=11_01.xlsx&amp;sheet=A0&amp;row=196&amp;col=28&amp;number=&amp;sourceID=13","")</f>
        <v/>
      </c>
      <c r="AC196" s="4" t="str">
        <f>HYPERLINK("http://141.218.60.56/~jnz1568/getInfo.php?workbook=11_01.xlsx&amp;sheet=A0&amp;row=196&amp;col=29&amp;number=&amp;sourceID=13","")</f>
        <v/>
      </c>
      <c r="AD196" s="4" t="str">
        <f>HYPERLINK("http://141.218.60.56/~jnz1568/getInfo.php?workbook=11_01.xlsx&amp;sheet=A0&amp;row=196&amp;col=30&amp;number=&amp;sourceID=13","")</f>
        <v/>
      </c>
      <c r="AE196" s="4" t="str">
        <f>HYPERLINK("http://141.218.60.56/~jnz1568/getInfo.php?workbook=11_01.xlsx&amp;sheet=A0&amp;row=196&amp;col=31&amp;number=&amp;sourceID=13","")</f>
        <v/>
      </c>
    </row>
    <row r="197" spans="1:31">
      <c r="A197" s="3">
        <v>11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HYPERLINK("http://141.218.60.56/~jnz1568/getInfo.php?workbook=11_01.xlsx&amp;sheet=A0&amp;row=197&amp;col=6&amp;number=&amp;sourceID=18","")</f>
        <v/>
      </c>
      <c r="G197" s="4" t="str">
        <f>HYPERLINK("http://141.218.60.56/~jnz1568/getInfo.php?workbook=11_01.xlsx&amp;sheet=A0&amp;row=197&amp;col=7&amp;number==&amp;sourceID=11","=")</f>
        <v>=</v>
      </c>
      <c r="H197" s="4" t="str">
        <f>HYPERLINK("http://141.218.60.56/~jnz1568/getInfo.php?workbook=11_01.xlsx&amp;sheet=A0&amp;row=197&amp;col=8&amp;number=35345000000&amp;sourceID=11","35345000000")</f>
        <v>35345000000</v>
      </c>
      <c r="I197" s="4" t="str">
        <f>HYPERLINK("http://141.218.60.56/~jnz1568/getInfo.php?workbook=11_01.xlsx&amp;sheet=A0&amp;row=197&amp;col=9&amp;number=&amp;sourceID=11","")</f>
        <v/>
      </c>
      <c r="J197" s="4" t="str">
        <f>HYPERLINK("http://141.218.60.56/~jnz1568/getInfo.php?workbook=11_01.xlsx&amp;sheet=A0&amp;row=197&amp;col=10&amp;number=10.279&amp;sourceID=11","10.279")</f>
        <v>10.279</v>
      </c>
      <c r="K197" s="4" t="str">
        <f>HYPERLINK("http://141.218.60.56/~jnz1568/getInfo.php?workbook=11_01.xlsx&amp;sheet=A0&amp;row=197&amp;col=11&amp;number=&amp;sourceID=11","")</f>
        <v/>
      </c>
      <c r="L197" s="4" t="str">
        <f>HYPERLINK("http://141.218.60.56/~jnz1568/getInfo.php?workbook=11_01.xlsx&amp;sheet=A0&amp;row=197&amp;col=12&amp;number=8.306&amp;sourceID=11","8.306")</f>
        <v>8.306</v>
      </c>
      <c r="M197" s="4" t="str">
        <f>HYPERLINK("http://141.218.60.56/~jnz1568/getInfo.php?workbook=11_01.xlsx&amp;sheet=A0&amp;row=197&amp;col=13&amp;number=&amp;sourceID=11","")</f>
        <v/>
      </c>
      <c r="N197" s="4" t="str">
        <f>HYPERLINK("http://141.218.60.56/~jnz1568/getInfo.php?workbook=11_01.xlsx&amp;sheet=A0&amp;row=197&amp;col=14&amp;number=35346000000&amp;sourceID=12","35346000000")</f>
        <v>35346000000</v>
      </c>
      <c r="O197" s="4" t="str">
        <f>HYPERLINK("http://141.218.60.56/~jnz1568/getInfo.php?workbook=11_01.xlsx&amp;sheet=A0&amp;row=197&amp;col=15&amp;number=35346000000&amp;sourceID=12","35346000000")</f>
        <v>35346000000</v>
      </c>
      <c r="P197" s="4" t="str">
        <f>HYPERLINK("http://141.218.60.56/~jnz1568/getInfo.php?workbook=11_01.xlsx&amp;sheet=A0&amp;row=197&amp;col=16&amp;number=&amp;sourceID=12","")</f>
        <v/>
      </c>
      <c r="Q197" s="4" t="str">
        <f>HYPERLINK("http://141.218.60.56/~jnz1568/getInfo.php?workbook=11_01.xlsx&amp;sheet=A0&amp;row=197&amp;col=17&amp;number=10.279&amp;sourceID=12","10.279")</f>
        <v>10.279</v>
      </c>
      <c r="R197" s="4" t="str">
        <f>HYPERLINK("http://141.218.60.56/~jnz1568/getInfo.php?workbook=11_01.xlsx&amp;sheet=A0&amp;row=197&amp;col=18&amp;number=&amp;sourceID=12","")</f>
        <v/>
      </c>
      <c r="S197" s="4" t="str">
        <f>HYPERLINK("http://141.218.60.56/~jnz1568/getInfo.php?workbook=11_01.xlsx&amp;sheet=A0&amp;row=197&amp;col=19&amp;number=8.3062&amp;sourceID=12","8.3062")</f>
        <v>8.3062</v>
      </c>
      <c r="T197" s="4" t="str">
        <f>HYPERLINK("http://141.218.60.56/~jnz1568/getInfo.php?workbook=11_01.xlsx&amp;sheet=A0&amp;row=197&amp;col=20&amp;number=&amp;sourceID=12","")</f>
        <v/>
      </c>
      <c r="U197" s="4" t="str">
        <f>HYPERLINK("http://141.218.60.56/~jnz1568/getInfo.php?workbook=11_01.xlsx&amp;sheet=A0&amp;row=197&amp;col=21&amp;number=35350000008.3&amp;sourceID=30","35350000008.3")</f>
        <v>35350000008.3</v>
      </c>
      <c r="V197" s="4" t="str">
        <f>HYPERLINK("http://141.218.60.56/~jnz1568/getInfo.php?workbook=11_01.xlsx&amp;sheet=A0&amp;row=197&amp;col=22&amp;number=35350000000&amp;sourceID=30","35350000000")</f>
        <v>35350000000</v>
      </c>
      <c r="W197" s="4" t="str">
        <f>HYPERLINK("http://141.218.60.56/~jnz1568/getInfo.php?workbook=11_01.xlsx&amp;sheet=A0&amp;row=197&amp;col=23&amp;number=&amp;sourceID=30","")</f>
        <v/>
      </c>
      <c r="X197" s="4" t="str">
        <f>HYPERLINK("http://141.218.60.56/~jnz1568/getInfo.php?workbook=11_01.xlsx&amp;sheet=A0&amp;row=197&amp;col=24&amp;number=&amp;sourceID=30","")</f>
        <v/>
      </c>
      <c r="Y197" s="4" t="str">
        <f>HYPERLINK("http://141.218.60.56/~jnz1568/getInfo.php?workbook=11_01.xlsx&amp;sheet=A0&amp;row=197&amp;col=25&amp;number=8.306&amp;sourceID=30","8.306")</f>
        <v>8.306</v>
      </c>
      <c r="Z197" s="4" t="str">
        <f>HYPERLINK("http://141.218.60.56/~jnz1568/getInfo.php?workbook=11_01.xlsx&amp;sheet=A0&amp;row=197&amp;col=26&amp;number=&amp;sourceID=13","")</f>
        <v/>
      </c>
      <c r="AA197" s="4" t="str">
        <f>HYPERLINK("http://141.218.60.56/~jnz1568/getInfo.php?workbook=11_01.xlsx&amp;sheet=A0&amp;row=197&amp;col=27&amp;number=&amp;sourceID=13","")</f>
        <v/>
      </c>
      <c r="AB197" s="4" t="str">
        <f>HYPERLINK("http://141.218.60.56/~jnz1568/getInfo.php?workbook=11_01.xlsx&amp;sheet=A0&amp;row=197&amp;col=28&amp;number=&amp;sourceID=13","")</f>
        <v/>
      </c>
      <c r="AC197" s="4" t="str">
        <f>HYPERLINK("http://141.218.60.56/~jnz1568/getInfo.php?workbook=11_01.xlsx&amp;sheet=A0&amp;row=197&amp;col=29&amp;number=&amp;sourceID=13","")</f>
        <v/>
      </c>
      <c r="AD197" s="4" t="str">
        <f>HYPERLINK("http://141.218.60.56/~jnz1568/getInfo.php?workbook=11_01.xlsx&amp;sheet=A0&amp;row=197&amp;col=30&amp;number=&amp;sourceID=13","")</f>
        <v/>
      </c>
      <c r="AE197" s="4" t="str">
        <f>HYPERLINK("http://141.218.60.56/~jnz1568/getInfo.php?workbook=11_01.xlsx&amp;sheet=A0&amp;row=197&amp;col=31&amp;number=&amp;sourceID=13","")</f>
        <v/>
      </c>
    </row>
    <row r="198" spans="1:31">
      <c r="A198" s="3">
        <v>11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HYPERLINK("http://141.218.60.56/~jnz1568/getInfo.php?workbook=11_01.xlsx&amp;sheet=A0&amp;row=198&amp;col=6&amp;number=&amp;sourceID=18","")</f>
        <v/>
      </c>
      <c r="G198" s="4" t="str">
        <f>HYPERLINK("http://141.218.60.56/~jnz1568/getInfo.php?workbook=11_01.xlsx&amp;sheet=A0&amp;row=198&amp;col=7&amp;number==SUM(H198:M198)&amp;sourceID=11","=SUM(H198:M198)")</f>
        <v>=SUM(H198:M198)</v>
      </c>
      <c r="H198" s="4" t="str">
        <f>HYPERLINK("http://141.218.60.56/~jnz1568/getInfo.php?workbook=11_01.xlsx&amp;sheet=A0&amp;row=198&amp;col=8&amp;number=&amp;sourceID=11","")</f>
        <v/>
      </c>
      <c r="I198" s="4" t="str">
        <f>HYPERLINK("http://141.218.60.56/~jnz1568/getInfo.php?workbook=11_01.xlsx&amp;sheet=A0&amp;row=198&amp;col=9&amp;number=369760&amp;sourceID=11","369760")</f>
        <v>369760</v>
      </c>
      <c r="J198" s="4" t="str">
        <f>HYPERLINK("http://141.218.60.56/~jnz1568/getInfo.php?workbook=11_01.xlsx&amp;sheet=A0&amp;row=198&amp;col=10&amp;number=&amp;sourceID=11","")</f>
        <v/>
      </c>
      <c r="K198" s="4" t="str">
        <f>HYPERLINK("http://141.218.60.56/~jnz1568/getInfo.php?workbook=11_01.xlsx&amp;sheet=A0&amp;row=198&amp;col=11&amp;number=0.00096591&amp;sourceID=11","0.00096591")</f>
        <v>0.00096591</v>
      </c>
      <c r="L198" s="4" t="str">
        <f>HYPERLINK("http://141.218.60.56/~jnz1568/getInfo.php?workbook=11_01.xlsx&amp;sheet=A0&amp;row=198&amp;col=12&amp;number=&amp;sourceID=11","")</f>
        <v/>
      </c>
      <c r="M198" s="4" t="str">
        <f>HYPERLINK("http://141.218.60.56/~jnz1568/getInfo.php?workbook=11_01.xlsx&amp;sheet=A0&amp;row=198&amp;col=13&amp;number=6.1805e-06&amp;sourceID=11","6.1805e-06")</f>
        <v>6.1805e-06</v>
      </c>
      <c r="N198" s="4" t="str">
        <f>HYPERLINK("http://141.218.60.56/~jnz1568/getInfo.php?workbook=11_01.xlsx&amp;sheet=A0&amp;row=198&amp;col=14&amp;number=369760&amp;sourceID=12","369760")</f>
        <v>369760</v>
      </c>
      <c r="O198" s="4" t="str">
        <f>HYPERLINK("http://141.218.60.56/~jnz1568/getInfo.php?workbook=11_01.xlsx&amp;sheet=A0&amp;row=198&amp;col=15&amp;number=&amp;sourceID=12","")</f>
        <v/>
      </c>
      <c r="P198" s="4" t="str">
        <f>HYPERLINK("http://141.218.60.56/~jnz1568/getInfo.php?workbook=11_01.xlsx&amp;sheet=A0&amp;row=198&amp;col=16&amp;number=369760&amp;sourceID=12","369760")</f>
        <v>369760</v>
      </c>
      <c r="Q198" s="4" t="str">
        <f>HYPERLINK("http://141.218.60.56/~jnz1568/getInfo.php?workbook=11_01.xlsx&amp;sheet=A0&amp;row=198&amp;col=17&amp;number=&amp;sourceID=12","")</f>
        <v/>
      </c>
      <c r="R198" s="4" t="str">
        <f>HYPERLINK("http://141.218.60.56/~jnz1568/getInfo.php?workbook=11_01.xlsx&amp;sheet=A0&amp;row=198&amp;col=18&amp;number=0.00096593&amp;sourceID=12","0.00096593")</f>
        <v>0.00096593</v>
      </c>
      <c r="S198" s="4" t="str">
        <f>HYPERLINK("http://141.218.60.56/~jnz1568/getInfo.php?workbook=11_01.xlsx&amp;sheet=A0&amp;row=198&amp;col=19&amp;number=&amp;sourceID=12","")</f>
        <v/>
      </c>
      <c r="T198" s="4" t="str">
        <f>HYPERLINK("http://141.218.60.56/~jnz1568/getInfo.php?workbook=11_01.xlsx&amp;sheet=A0&amp;row=198&amp;col=20&amp;number=6.1807e-06&amp;sourceID=12","6.1807e-06")</f>
        <v>6.1807e-06</v>
      </c>
      <c r="U198" s="4" t="str">
        <f>HYPERLINK("http://141.218.60.56/~jnz1568/getInfo.php?workbook=11_01.xlsx&amp;sheet=A0&amp;row=198&amp;col=21&amp;number=369800.000966&amp;sourceID=30","369800.000966")</f>
        <v>369800.000966</v>
      </c>
      <c r="V198" s="4" t="str">
        <f>HYPERLINK("http://141.218.60.56/~jnz1568/getInfo.php?workbook=11_01.xlsx&amp;sheet=A0&amp;row=198&amp;col=22&amp;number=&amp;sourceID=30","")</f>
        <v/>
      </c>
      <c r="W198" s="4" t="str">
        <f>HYPERLINK("http://141.218.60.56/~jnz1568/getInfo.php?workbook=11_01.xlsx&amp;sheet=A0&amp;row=198&amp;col=23&amp;number=369800&amp;sourceID=30","369800")</f>
        <v>369800</v>
      </c>
      <c r="X198" s="4" t="str">
        <f>HYPERLINK("http://141.218.60.56/~jnz1568/getInfo.php?workbook=11_01.xlsx&amp;sheet=A0&amp;row=198&amp;col=24&amp;number=0.0009657&amp;sourceID=30","0.0009657")</f>
        <v>0.0009657</v>
      </c>
      <c r="Y198" s="4" t="str">
        <f>HYPERLINK("http://141.218.60.56/~jnz1568/getInfo.php?workbook=11_01.xlsx&amp;sheet=A0&amp;row=198&amp;col=25&amp;number=&amp;sourceID=30","")</f>
        <v/>
      </c>
      <c r="Z198" s="4" t="str">
        <f>HYPERLINK("http://141.218.60.56/~jnz1568/getInfo.php?workbook=11_01.xlsx&amp;sheet=A0&amp;row=198&amp;col=26&amp;number=&amp;sourceID=13","")</f>
        <v/>
      </c>
      <c r="AA198" s="4" t="str">
        <f>HYPERLINK("http://141.218.60.56/~jnz1568/getInfo.php?workbook=11_01.xlsx&amp;sheet=A0&amp;row=198&amp;col=27&amp;number=&amp;sourceID=13","")</f>
        <v/>
      </c>
      <c r="AB198" s="4" t="str">
        <f>HYPERLINK("http://141.218.60.56/~jnz1568/getInfo.php?workbook=11_01.xlsx&amp;sheet=A0&amp;row=198&amp;col=28&amp;number=&amp;sourceID=13","")</f>
        <v/>
      </c>
      <c r="AC198" s="4" t="str">
        <f>HYPERLINK("http://141.218.60.56/~jnz1568/getInfo.php?workbook=11_01.xlsx&amp;sheet=A0&amp;row=198&amp;col=29&amp;number=&amp;sourceID=13","")</f>
        <v/>
      </c>
      <c r="AD198" s="4" t="str">
        <f>HYPERLINK("http://141.218.60.56/~jnz1568/getInfo.php?workbook=11_01.xlsx&amp;sheet=A0&amp;row=198&amp;col=30&amp;number=&amp;sourceID=13","")</f>
        <v/>
      </c>
      <c r="AE198" s="4" t="str">
        <f>HYPERLINK("http://141.218.60.56/~jnz1568/getInfo.php?workbook=11_01.xlsx&amp;sheet=A0&amp;row=198&amp;col=31&amp;number=&amp;sourceID=13","")</f>
        <v/>
      </c>
    </row>
    <row r="199" spans="1:31">
      <c r="A199" s="3">
        <v>11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HYPERLINK("http://141.218.60.56/~jnz1568/getInfo.php?workbook=11_01.xlsx&amp;sheet=A0&amp;row=199&amp;col=6&amp;number=&amp;sourceID=18","")</f>
        <v/>
      </c>
      <c r="G199" s="4" t="str">
        <f>HYPERLINK("http://141.218.60.56/~jnz1568/getInfo.php?workbook=11_01.xlsx&amp;sheet=A0&amp;row=199&amp;col=7&amp;number==&amp;sourceID=11","=")</f>
        <v>=</v>
      </c>
      <c r="H199" s="4" t="str">
        <f>HYPERLINK("http://141.218.60.56/~jnz1568/getInfo.php?workbook=11_01.xlsx&amp;sheet=A0&amp;row=199&amp;col=8&amp;number=&amp;sourceID=11","")</f>
        <v/>
      </c>
      <c r="I199" s="4" t="str">
        <f>HYPERLINK("http://141.218.60.56/~jnz1568/getInfo.php?workbook=11_01.xlsx&amp;sheet=A0&amp;row=199&amp;col=9&amp;number=232340&amp;sourceID=11","232340")</f>
        <v>232340</v>
      </c>
      <c r="J199" s="4" t="str">
        <f>HYPERLINK("http://141.218.60.56/~jnz1568/getInfo.php?workbook=11_01.xlsx&amp;sheet=A0&amp;row=199&amp;col=10&amp;number=&amp;sourceID=11","")</f>
        <v/>
      </c>
      <c r="K199" s="4" t="str">
        <f>HYPERLINK("http://141.218.60.56/~jnz1568/getInfo.php?workbook=11_01.xlsx&amp;sheet=A0&amp;row=199&amp;col=11&amp;number=0.033268&amp;sourceID=11","0.033268")</f>
        <v>0.033268</v>
      </c>
      <c r="L199" s="4" t="str">
        <f>HYPERLINK("http://141.218.60.56/~jnz1568/getInfo.php?workbook=11_01.xlsx&amp;sheet=A0&amp;row=199&amp;col=12&amp;number=&amp;sourceID=11","")</f>
        <v/>
      </c>
      <c r="M199" s="4" t="str">
        <f>HYPERLINK("http://141.218.60.56/~jnz1568/getInfo.php?workbook=11_01.xlsx&amp;sheet=A0&amp;row=199&amp;col=13&amp;number=5.2344e-05&amp;sourceID=11","5.2344e-05")</f>
        <v>5.2344e-05</v>
      </c>
      <c r="N199" s="4" t="str">
        <f>HYPERLINK("http://141.218.60.56/~jnz1568/getInfo.php?workbook=11_01.xlsx&amp;sheet=A0&amp;row=199&amp;col=14&amp;number=232350&amp;sourceID=12","232350")</f>
        <v>232350</v>
      </c>
      <c r="O199" s="4" t="str">
        <f>HYPERLINK("http://141.218.60.56/~jnz1568/getInfo.php?workbook=11_01.xlsx&amp;sheet=A0&amp;row=199&amp;col=15&amp;number=&amp;sourceID=12","")</f>
        <v/>
      </c>
      <c r="P199" s="4" t="str">
        <f>HYPERLINK("http://141.218.60.56/~jnz1568/getInfo.php?workbook=11_01.xlsx&amp;sheet=A0&amp;row=199&amp;col=16&amp;number=232350&amp;sourceID=12","232350")</f>
        <v>232350</v>
      </c>
      <c r="Q199" s="4" t="str">
        <f>HYPERLINK("http://141.218.60.56/~jnz1568/getInfo.php?workbook=11_01.xlsx&amp;sheet=A0&amp;row=199&amp;col=17&amp;number=&amp;sourceID=12","")</f>
        <v/>
      </c>
      <c r="R199" s="4" t="str">
        <f>HYPERLINK("http://141.218.60.56/~jnz1568/getInfo.php?workbook=11_01.xlsx&amp;sheet=A0&amp;row=199&amp;col=18&amp;number=0.033269&amp;sourceID=12","0.033269")</f>
        <v>0.033269</v>
      </c>
      <c r="S199" s="4" t="str">
        <f>HYPERLINK("http://141.218.60.56/~jnz1568/getInfo.php?workbook=11_01.xlsx&amp;sheet=A0&amp;row=199&amp;col=19&amp;number=&amp;sourceID=12","")</f>
        <v/>
      </c>
      <c r="T199" s="4" t="str">
        <f>HYPERLINK("http://141.218.60.56/~jnz1568/getInfo.php?workbook=11_01.xlsx&amp;sheet=A0&amp;row=199&amp;col=20&amp;number=5.2345e-05&amp;sourceID=12","5.2345e-05")</f>
        <v>5.2345e-05</v>
      </c>
      <c r="U199" s="4" t="str">
        <f>HYPERLINK("http://141.218.60.56/~jnz1568/getInfo.php?workbook=11_01.xlsx&amp;sheet=A0&amp;row=199&amp;col=21&amp;number=232400.03328&amp;sourceID=30","232400.03328")</f>
        <v>232400.03328</v>
      </c>
      <c r="V199" s="4" t="str">
        <f>HYPERLINK("http://141.218.60.56/~jnz1568/getInfo.php?workbook=11_01.xlsx&amp;sheet=A0&amp;row=199&amp;col=22&amp;number=&amp;sourceID=30","")</f>
        <v/>
      </c>
      <c r="W199" s="4" t="str">
        <f>HYPERLINK("http://141.218.60.56/~jnz1568/getInfo.php?workbook=11_01.xlsx&amp;sheet=A0&amp;row=199&amp;col=23&amp;number=232400&amp;sourceID=30","232400")</f>
        <v>232400</v>
      </c>
      <c r="X199" s="4" t="str">
        <f>HYPERLINK("http://141.218.60.56/~jnz1568/getInfo.php?workbook=11_01.xlsx&amp;sheet=A0&amp;row=199&amp;col=24&amp;number=0.03328&amp;sourceID=30","0.03328")</f>
        <v>0.03328</v>
      </c>
      <c r="Y199" s="4" t="str">
        <f>HYPERLINK("http://141.218.60.56/~jnz1568/getInfo.php?workbook=11_01.xlsx&amp;sheet=A0&amp;row=199&amp;col=25&amp;number=&amp;sourceID=30","")</f>
        <v/>
      </c>
      <c r="Z199" s="4" t="str">
        <f>HYPERLINK("http://141.218.60.56/~jnz1568/getInfo.php?workbook=11_01.xlsx&amp;sheet=A0&amp;row=199&amp;col=26&amp;number=&amp;sourceID=13","")</f>
        <v/>
      </c>
      <c r="AA199" s="4" t="str">
        <f>HYPERLINK("http://141.218.60.56/~jnz1568/getInfo.php?workbook=11_01.xlsx&amp;sheet=A0&amp;row=199&amp;col=27&amp;number=&amp;sourceID=13","")</f>
        <v/>
      </c>
      <c r="AB199" s="4" t="str">
        <f>HYPERLINK("http://141.218.60.56/~jnz1568/getInfo.php?workbook=11_01.xlsx&amp;sheet=A0&amp;row=199&amp;col=28&amp;number=&amp;sourceID=13","")</f>
        <v/>
      </c>
      <c r="AC199" s="4" t="str">
        <f>HYPERLINK("http://141.218.60.56/~jnz1568/getInfo.php?workbook=11_01.xlsx&amp;sheet=A0&amp;row=199&amp;col=29&amp;number=&amp;sourceID=13","")</f>
        <v/>
      </c>
      <c r="AD199" s="4" t="str">
        <f>HYPERLINK("http://141.218.60.56/~jnz1568/getInfo.php?workbook=11_01.xlsx&amp;sheet=A0&amp;row=199&amp;col=30&amp;number=&amp;sourceID=13","")</f>
        <v/>
      </c>
      <c r="AE199" s="4" t="str">
        <f>HYPERLINK("http://141.218.60.56/~jnz1568/getInfo.php?workbook=11_01.xlsx&amp;sheet=A0&amp;row=199&amp;col=31&amp;number=&amp;sourceID=13","")</f>
        <v/>
      </c>
    </row>
    <row r="200" spans="1:31">
      <c r="A200" s="3">
        <v>11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HYPERLINK("http://141.218.60.56/~jnz1568/getInfo.php?workbook=11_01.xlsx&amp;sheet=A0&amp;row=200&amp;col=6&amp;number=&amp;sourceID=18","")</f>
        <v/>
      </c>
      <c r="G200" s="4" t="str">
        <f>HYPERLINK("http://141.218.60.56/~jnz1568/getInfo.php?workbook=11_01.xlsx&amp;sheet=A0&amp;row=200&amp;col=7&amp;number==&amp;sourceID=11","=")</f>
        <v>=</v>
      </c>
      <c r="H200" s="4" t="str">
        <f>HYPERLINK("http://141.218.60.56/~jnz1568/getInfo.php?workbook=11_01.xlsx&amp;sheet=A0&amp;row=200&amp;col=8&amp;number=2524500000&amp;sourceID=11","2524500000")</f>
        <v>2524500000</v>
      </c>
      <c r="I200" s="4" t="str">
        <f>HYPERLINK("http://141.218.60.56/~jnz1568/getInfo.php?workbook=11_01.xlsx&amp;sheet=A0&amp;row=200&amp;col=9&amp;number=&amp;sourceID=11","")</f>
        <v/>
      </c>
      <c r="J200" s="4" t="str">
        <f>HYPERLINK("http://141.218.60.56/~jnz1568/getInfo.php?workbook=11_01.xlsx&amp;sheet=A0&amp;row=200&amp;col=10&amp;number=6.8309&amp;sourceID=11","6.8309")</f>
        <v>6.8309</v>
      </c>
      <c r="K200" s="4" t="str">
        <f>HYPERLINK("http://141.218.60.56/~jnz1568/getInfo.php?workbook=11_01.xlsx&amp;sheet=A0&amp;row=200&amp;col=11&amp;number=&amp;sourceID=11","")</f>
        <v/>
      </c>
      <c r="L200" s="4" t="str">
        <f>HYPERLINK("http://141.218.60.56/~jnz1568/getInfo.php?workbook=11_01.xlsx&amp;sheet=A0&amp;row=200&amp;col=12&amp;number=&amp;sourceID=11","")</f>
        <v/>
      </c>
      <c r="M200" s="4" t="str">
        <f>HYPERLINK("http://141.218.60.56/~jnz1568/getInfo.php?workbook=11_01.xlsx&amp;sheet=A0&amp;row=200&amp;col=13&amp;number=&amp;sourceID=11","")</f>
        <v/>
      </c>
      <c r="N200" s="4" t="str">
        <f>HYPERLINK("http://141.218.60.56/~jnz1568/getInfo.php?workbook=11_01.xlsx&amp;sheet=A0&amp;row=200&amp;col=14&amp;number=2524600000&amp;sourceID=12","2524600000")</f>
        <v>2524600000</v>
      </c>
      <c r="O200" s="4" t="str">
        <f>HYPERLINK("http://141.218.60.56/~jnz1568/getInfo.php?workbook=11_01.xlsx&amp;sheet=A0&amp;row=200&amp;col=15&amp;number=2524600000&amp;sourceID=12","2524600000")</f>
        <v>2524600000</v>
      </c>
      <c r="P200" s="4" t="str">
        <f>HYPERLINK("http://141.218.60.56/~jnz1568/getInfo.php?workbook=11_01.xlsx&amp;sheet=A0&amp;row=200&amp;col=16&amp;number=&amp;sourceID=12","")</f>
        <v/>
      </c>
      <c r="Q200" s="4" t="str">
        <f>HYPERLINK("http://141.218.60.56/~jnz1568/getInfo.php?workbook=11_01.xlsx&amp;sheet=A0&amp;row=200&amp;col=17&amp;number=6.8311&amp;sourceID=12","6.8311")</f>
        <v>6.8311</v>
      </c>
      <c r="R200" s="4" t="str">
        <f>HYPERLINK("http://141.218.60.56/~jnz1568/getInfo.php?workbook=11_01.xlsx&amp;sheet=A0&amp;row=200&amp;col=18&amp;number=&amp;sourceID=12","")</f>
        <v/>
      </c>
      <c r="S200" s="4" t="str">
        <f>HYPERLINK("http://141.218.60.56/~jnz1568/getInfo.php?workbook=11_01.xlsx&amp;sheet=A0&amp;row=200&amp;col=19&amp;number=&amp;sourceID=12","")</f>
        <v/>
      </c>
      <c r="T200" s="4" t="str">
        <f>HYPERLINK("http://141.218.60.56/~jnz1568/getInfo.php?workbook=11_01.xlsx&amp;sheet=A0&amp;row=200&amp;col=20&amp;number=&amp;sourceID=12","")</f>
        <v/>
      </c>
      <c r="U200" s="4" t="str">
        <f>HYPERLINK("http://141.218.60.56/~jnz1568/getInfo.php?workbook=11_01.xlsx&amp;sheet=A0&amp;row=200&amp;col=21&amp;number=2525000000&amp;sourceID=30","2525000000")</f>
        <v>2525000000</v>
      </c>
      <c r="V200" s="4" t="str">
        <f>HYPERLINK("http://141.218.60.56/~jnz1568/getInfo.php?workbook=11_01.xlsx&amp;sheet=A0&amp;row=200&amp;col=22&amp;number=2525000000&amp;sourceID=30","2525000000")</f>
        <v>2525000000</v>
      </c>
      <c r="W200" s="4" t="str">
        <f>HYPERLINK("http://141.218.60.56/~jnz1568/getInfo.php?workbook=11_01.xlsx&amp;sheet=A0&amp;row=200&amp;col=23&amp;number=&amp;sourceID=30","")</f>
        <v/>
      </c>
      <c r="X200" s="4" t="str">
        <f>HYPERLINK("http://141.218.60.56/~jnz1568/getInfo.php?workbook=11_01.xlsx&amp;sheet=A0&amp;row=200&amp;col=24&amp;number=&amp;sourceID=30","")</f>
        <v/>
      </c>
      <c r="Y200" s="4" t="str">
        <f>HYPERLINK("http://141.218.60.56/~jnz1568/getInfo.php?workbook=11_01.xlsx&amp;sheet=A0&amp;row=200&amp;col=25&amp;number=&amp;sourceID=30","")</f>
        <v/>
      </c>
      <c r="Z200" s="4" t="str">
        <f>HYPERLINK("http://141.218.60.56/~jnz1568/getInfo.php?workbook=11_01.xlsx&amp;sheet=A0&amp;row=200&amp;col=26&amp;number=&amp;sourceID=13","")</f>
        <v/>
      </c>
      <c r="AA200" s="4" t="str">
        <f>HYPERLINK("http://141.218.60.56/~jnz1568/getInfo.php?workbook=11_01.xlsx&amp;sheet=A0&amp;row=200&amp;col=27&amp;number=&amp;sourceID=13","")</f>
        <v/>
      </c>
      <c r="AB200" s="4" t="str">
        <f>HYPERLINK("http://141.218.60.56/~jnz1568/getInfo.php?workbook=11_01.xlsx&amp;sheet=A0&amp;row=200&amp;col=28&amp;number=&amp;sourceID=13","")</f>
        <v/>
      </c>
      <c r="AC200" s="4" t="str">
        <f>HYPERLINK("http://141.218.60.56/~jnz1568/getInfo.php?workbook=11_01.xlsx&amp;sheet=A0&amp;row=200&amp;col=29&amp;number=&amp;sourceID=13","")</f>
        <v/>
      </c>
      <c r="AD200" s="4" t="str">
        <f>HYPERLINK("http://141.218.60.56/~jnz1568/getInfo.php?workbook=11_01.xlsx&amp;sheet=A0&amp;row=200&amp;col=30&amp;number=&amp;sourceID=13","")</f>
        <v/>
      </c>
      <c r="AE200" s="4" t="str">
        <f>HYPERLINK("http://141.218.60.56/~jnz1568/getInfo.php?workbook=11_01.xlsx&amp;sheet=A0&amp;row=200&amp;col=31&amp;number=&amp;sourceID=13","")</f>
        <v/>
      </c>
    </row>
    <row r="201" spans="1:31">
      <c r="A201" s="3">
        <v>11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HYPERLINK("http://141.218.60.56/~jnz1568/getInfo.php?workbook=11_01.xlsx&amp;sheet=A0&amp;row=201&amp;col=6&amp;number=&amp;sourceID=18","")</f>
        <v/>
      </c>
      <c r="G201" s="4" t="str">
        <f>HYPERLINK("http://141.218.60.56/~jnz1568/getInfo.php?workbook=11_01.xlsx&amp;sheet=A0&amp;row=201&amp;col=7&amp;number==&amp;sourceID=11","=")</f>
        <v>=</v>
      </c>
      <c r="H201" s="4" t="str">
        <f>HYPERLINK("http://141.218.60.56/~jnz1568/getInfo.php?workbook=11_01.xlsx&amp;sheet=A0&amp;row=201&amp;col=8&amp;number=&amp;sourceID=11","")</f>
        <v/>
      </c>
      <c r="I201" s="4" t="str">
        <f>HYPERLINK("http://141.218.60.56/~jnz1568/getInfo.php?workbook=11_01.xlsx&amp;sheet=A0&amp;row=201&amp;col=9&amp;number=38706&amp;sourceID=11","38706")</f>
        <v>38706</v>
      </c>
      <c r="J201" s="4" t="str">
        <f>HYPERLINK("http://141.218.60.56/~jnz1568/getInfo.php?workbook=11_01.xlsx&amp;sheet=A0&amp;row=201&amp;col=10&amp;number=&amp;sourceID=11","")</f>
        <v/>
      </c>
      <c r="K201" s="4" t="str">
        <f>HYPERLINK("http://141.218.60.56/~jnz1568/getInfo.php?workbook=11_01.xlsx&amp;sheet=A0&amp;row=201&amp;col=11&amp;number=0.031002&amp;sourceID=11","0.031002")</f>
        <v>0.031002</v>
      </c>
      <c r="L201" s="4" t="str">
        <f>HYPERLINK("http://141.218.60.56/~jnz1568/getInfo.php?workbook=11_01.xlsx&amp;sheet=A0&amp;row=201&amp;col=12&amp;number=&amp;sourceID=11","")</f>
        <v/>
      </c>
      <c r="M201" s="4" t="str">
        <f>HYPERLINK("http://141.218.60.56/~jnz1568/getInfo.php?workbook=11_01.xlsx&amp;sheet=A0&amp;row=201&amp;col=13&amp;number=6.4552e-06&amp;sourceID=11","6.4552e-06")</f>
        <v>6.4552e-06</v>
      </c>
      <c r="N201" s="4" t="str">
        <f>HYPERLINK("http://141.218.60.56/~jnz1568/getInfo.php?workbook=11_01.xlsx&amp;sheet=A0&amp;row=201&amp;col=14&amp;number=38707&amp;sourceID=12","38707")</f>
        <v>38707</v>
      </c>
      <c r="O201" s="4" t="str">
        <f>HYPERLINK("http://141.218.60.56/~jnz1568/getInfo.php?workbook=11_01.xlsx&amp;sheet=A0&amp;row=201&amp;col=15&amp;number=&amp;sourceID=12","")</f>
        <v/>
      </c>
      <c r="P201" s="4" t="str">
        <f>HYPERLINK("http://141.218.60.56/~jnz1568/getInfo.php?workbook=11_01.xlsx&amp;sheet=A0&amp;row=201&amp;col=16&amp;number=38707&amp;sourceID=12","38707")</f>
        <v>38707</v>
      </c>
      <c r="Q201" s="4" t="str">
        <f>HYPERLINK("http://141.218.60.56/~jnz1568/getInfo.php?workbook=11_01.xlsx&amp;sheet=A0&amp;row=201&amp;col=17&amp;number=&amp;sourceID=12","")</f>
        <v/>
      </c>
      <c r="R201" s="4" t="str">
        <f>HYPERLINK("http://141.218.60.56/~jnz1568/getInfo.php?workbook=11_01.xlsx&amp;sheet=A0&amp;row=201&amp;col=18&amp;number=0.031003&amp;sourceID=12","0.031003")</f>
        <v>0.031003</v>
      </c>
      <c r="S201" s="4" t="str">
        <f>HYPERLINK("http://141.218.60.56/~jnz1568/getInfo.php?workbook=11_01.xlsx&amp;sheet=A0&amp;row=201&amp;col=19&amp;number=&amp;sourceID=12","")</f>
        <v/>
      </c>
      <c r="T201" s="4" t="str">
        <f>HYPERLINK("http://141.218.60.56/~jnz1568/getInfo.php?workbook=11_01.xlsx&amp;sheet=A0&amp;row=201&amp;col=20&amp;number=6.4554e-06&amp;sourceID=12","6.4554e-06")</f>
        <v>6.4554e-06</v>
      </c>
      <c r="U201" s="4" t="str">
        <f>HYPERLINK("http://141.218.60.56/~jnz1568/getInfo.php?workbook=11_01.xlsx&amp;sheet=A0&amp;row=201&amp;col=21&amp;number=38710.031&amp;sourceID=30","38710.031")</f>
        <v>38710.031</v>
      </c>
      <c r="V201" s="4" t="str">
        <f>HYPERLINK("http://141.218.60.56/~jnz1568/getInfo.php?workbook=11_01.xlsx&amp;sheet=A0&amp;row=201&amp;col=22&amp;number=&amp;sourceID=30","")</f>
        <v/>
      </c>
      <c r="W201" s="4" t="str">
        <f>HYPERLINK("http://141.218.60.56/~jnz1568/getInfo.php?workbook=11_01.xlsx&amp;sheet=A0&amp;row=201&amp;col=23&amp;number=38710&amp;sourceID=30","38710")</f>
        <v>38710</v>
      </c>
      <c r="X201" s="4" t="str">
        <f>HYPERLINK("http://141.218.60.56/~jnz1568/getInfo.php?workbook=11_01.xlsx&amp;sheet=A0&amp;row=201&amp;col=24&amp;number=0.031&amp;sourceID=30","0.031")</f>
        <v>0.031</v>
      </c>
      <c r="Y201" s="4" t="str">
        <f>HYPERLINK("http://141.218.60.56/~jnz1568/getInfo.php?workbook=11_01.xlsx&amp;sheet=A0&amp;row=201&amp;col=25&amp;number=&amp;sourceID=30","")</f>
        <v/>
      </c>
      <c r="Z201" s="4" t="str">
        <f>HYPERLINK("http://141.218.60.56/~jnz1568/getInfo.php?workbook=11_01.xlsx&amp;sheet=A0&amp;row=201&amp;col=26&amp;number=&amp;sourceID=13","")</f>
        <v/>
      </c>
      <c r="AA201" s="4" t="str">
        <f>HYPERLINK("http://141.218.60.56/~jnz1568/getInfo.php?workbook=11_01.xlsx&amp;sheet=A0&amp;row=201&amp;col=27&amp;number=&amp;sourceID=13","")</f>
        <v/>
      </c>
      <c r="AB201" s="4" t="str">
        <f>HYPERLINK("http://141.218.60.56/~jnz1568/getInfo.php?workbook=11_01.xlsx&amp;sheet=A0&amp;row=201&amp;col=28&amp;number=&amp;sourceID=13","")</f>
        <v/>
      </c>
      <c r="AC201" s="4" t="str">
        <f>HYPERLINK("http://141.218.60.56/~jnz1568/getInfo.php?workbook=11_01.xlsx&amp;sheet=A0&amp;row=201&amp;col=29&amp;number=&amp;sourceID=13","")</f>
        <v/>
      </c>
      <c r="AD201" s="4" t="str">
        <f>HYPERLINK("http://141.218.60.56/~jnz1568/getInfo.php?workbook=11_01.xlsx&amp;sheet=A0&amp;row=201&amp;col=30&amp;number=&amp;sourceID=13","")</f>
        <v/>
      </c>
      <c r="AE201" s="4" t="str">
        <f>HYPERLINK("http://141.218.60.56/~jnz1568/getInfo.php?workbook=11_01.xlsx&amp;sheet=A0&amp;row=201&amp;col=31&amp;number=&amp;sourceID=13","")</f>
        <v/>
      </c>
    </row>
    <row r="202" spans="1:31">
      <c r="A202" s="3">
        <v>11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HYPERLINK("http://141.218.60.56/~jnz1568/getInfo.php?workbook=11_01.xlsx&amp;sheet=A0&amp;row=202&amp;col=6&amp;number=&amp;sourceID=18","")</f>
        <v/>
      </c>
      <c r="G202" s="4" t="str">
        <f>HYPERLINK("http://141.218.60.56/~jnz1568/getInfo.php?workbook=11_01.xlsx&amp;sheet=A0&amp;row=202&amp;col=7&amp;number==&amp;sourceID=11","=")</f>
        <v>=</v>
      </c>
      <c r="H202" s="4" t="str">
        <f>HYPERLINK("http://141.218.60.56/~jnz1568/getInfo.php?workbook=11_01.xlsx&amp;sheet=A0&amp;row=202&amp;col=8&amp;number=&amp;sourceID=11","")</f>
        <v/>
      </c>
      <c r="I202" s="4" t="str">
        <f>HYPERLINK("http://141.218.60.56/~jnz1568/getInfo.php?workbook=11_01.xlsx&amp;sheet=A0&amp;row=202&amp;col=9&amp;number=4.0351e-08&amp;sourceID=11","4.0351e-08")</f>
        <v>4.0351e-08</v>
      </c>
      <c r="J202" s="4" t="str">
        <f>HYPERLINK("http://141.218.60.56/~jnz1568/getInfo.php?workbook=11_01.xlsx&amp;sheet=A0&amp;row=202&amp;col=10&amp;number=&amp;sourceID=11","")</f>
        <v/>
      </c>
      <c r="K202" s="4" t="str">
        <f>HYPERLINK("http://141.218.60.56/~jnz1568/getInfo.php?workbook=11_01.xlsx&amp;sheet=A0&amp;row=202&amp;col=11&amp;number=&amp;sourceID=11","")</f>
        <v/>
      </c>
      <c r="L202" s="4" t="str">
        <f>HYPERLINK("http://141.218.60.56/~jnz1568/getInfo.php?workbook=11_01.xlsx&amp;sheet=A0&amp;row=202&amp;col=12&amp;number=&amp;sourceID=11","")</f>
        <v/>
      </c>
      <c r="M202" s="4" t="str">
        <f>HYPERLINK("http://141.218.60.56/~jnz1568/getInfo.php?workbook=11_01.xlsx&amp;sheet=A0&amp;row=202&amp;col=13&amp;number=0&amp;sourceID=11","0")</f>
        <v>0</v>
      </c>
      <c r="N202" s="4" t="str">
        <f>HYPERLINK("http://141.218.60.56/~jnz1568/getInfo.php?workbook=11_01.xlsx&amp;sheet=A0&amp;row=202&amp;col=14&amp;number=4.0356e-08&amp;sourceID=12","4.0356e-08")</f>
        <v>4.0356e-08</v>
      </c>
      <c r="O202" s="4" t="str">
        <f>HYPERLINK("http://141.218.60.56/~jnz1568/getInfo.php?workbook=11_01.xlsx&amp;sheet=A0&amp;row=202&amp;col=15&amp;number=&amp;sourceID=12","")</f>
        <v/>
      </c>
      <c r="P202" s="4" t="str">
        <f>HYPERLINK("http://141.218.60.56/~jnz1568/getInfo.php?workbook=11_01.xlsx&amp;sheet=A0&amp;row=202&amp;col=16&amp;number=4.0356e-08&amp;sourceID=12","4.0356e-08")</f>
        <v>4.0356e-08</v>
      </c>
      <c r="Q202" s="4" t="str">
        <f>HYPERLINK("http://141.218.60.56/~jnz1568/getInfo.php?workbook=11_01.xlsx&amp;sheet=A0&amp;row=202&amp;col=17&amp;number=&amp;sourceID=12","")</f>
        <v/>
      </c>
      <c r="R202" s="4" t="str">
        <f>HYPERLINK("http://141.218.60.56/~jnz1568/getInfo.php?workbook=11_01.xlsx&amp;sheet=A0&amp;row=202&amp;col=18&amp;number=&amp;sourceID=12","")</f>
        <v/>
      </c>
      <c r="S202" s="4" t="str">
        <f>HYPERLINK("http://141.218.60.56/~jnz1568/getInfo.php?workbook=11_01.xlsx&amp;sheet=A0&amp;row=202&amp;col=19&amp;number=&amp;sourceID=12","")</f>
        <v/>
      </c>
      <c r="T202" s="4" t="str">
        <f>HYPERLINK("http://141.218.60.56/~jnz1568/getInfo.php?workbook=11_01.xlsx&amp;sheet=A0&amp;row=202&amp;col=20&amp;number=0&amp;sourceID=12","0")</f>
        <v>0</v>
      </c>
      <c r="U202" s="4" t="str">
        <f>HYPERLINK("http://141.218.60.56/~jnz1568/getInfo.php?workbook=11_01.xlsx&amp;sheet=A0&amp;row=202&amp;col=21&amp;number=4.036e-08&amp;sourceID=30","4.036e-08")</f>
        <v>4.036e-08</v>
      </c>
      <c r="V202" s="4" t="str">
        <f>HYPERLINK("http://141.218.60.56/~jnz1568/getInfo.php?workbook=11_01.xlsx&amp;sheet=A0&amp;row=202&amp;col=22&amp;number=&amp;sourceID=30","")</f>
        <v/>
      </c>
      <c r="W202" s="4" t="str">
        <f>HYPERLINK("http://141.218.60.56/~jnz1568/getInfo.php?workbook=11_01.xlsx&amp;sheet=A0&amp;row=202&amp;col=23&amp;number=4.036e-08&amp;sourceID=30","4.036e-08")</f>
        <v>4.036e-08</v>
      </c>
      <c r="X202" s="4" t="str">
        <f>HYPERLINK("http://141.218.60.56/~jnz1568/getInfo.php?workbook=11_01.xlsx&amp;sheet=A0&amp;row=202&amp;col=24&amp;number=&amp;sourceID=30","")</f>
        <v/>
      </c>
      <c r="Y202" s="4" t="str">
        <f>HYPERLINK("http://141.218.60.56/~jnz1568/getInfo.php?workbook=11_01.xlsx&amp;sheet=A0&amp;row=202&amp;col=25&amp;number=&amp;sourceID=30","")</f>
        <v/>
      </c>
      <c r="Z202" s="4" t="str">
        <f>HYPERLINK("http://141.218.60.56/~jnz1568/getInfo.php?workbook=11_01.xlsx&amp;sheet=A0&amp;row=202&amp;col=26&amp;number=&amp;sourceID=13","")</f>
        <v/>
      </c>
      <c r="AA202" s="4" t="str">
        <f>HYPERLINK("http://141.218.60.56/~jnz1568/getInfo.php?workbook=11_01.xlsx&amp;sheet=A0&amp;row=202&amp;col=27&amp;number=&amp;sourceID=13","")</f>
        <v/>
      </c>
      <c r="AB202" s="4" t="str">
        <f>HYPERLINK("http://141.218.60.56/~jnz1568/getInfo.php?workbook=11_01.xlsx&amp;sheet=A0&amp;row=202&amp;col=28&amp;number=&amp;sourceID=13","")</f>
        <v/>
      </c>
      <c r="AC202" s="4" t="str">
        <f>HYPERLINK("http://141.218.60.56/~jnz1568/getInfo.php?workbook=11_01.xlsx&amp;sheet=A0&amp;row=202&amp;col=29&amp;number=&amp;sourceID=13","")</f>
        <v/>
      </c>
      <c r="AD202" s="4" t="str">
        <f>HYPERLINK("http://141.218.60.56/~jnz1568/getInfo.php?workbook=11_01.xlsx&amp;sheet=A0&amp;row=202&amp;col=30&amp;number=&amp;sourceID=13","")</f>
        <v/>
      </c>
      <c r="AE202" s="4" t="str">
        <f>HYPERLINK("http://141.218.60.56/~jnz1568/getInfo.php?workbook=11_01.xlsx&amp;sheet=A0&amp;row=202&amp;col=31&amp;number=&amp;sourceID=13","")</f>
        <v/>
      </c>
    </row>
    <row r="203" spans="1:31">
      <c r="A203" s="3">
        <v>11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HYPERLINK("http://141.218.60.56/~jnz1568/getInfo.php?workbook=11_01.xlsx&amp;sheet=A0&amp;row=203&amp;col=6&amp;number=&amp;sourceID=18","")</f>
        <v/>
      </c>
      <c r="G203" s="4" t="str">
        <f>HYPERLINK("http://141.218.60.56/~jnz1568/getInfo.php?workbook=11_01.xlsx&amp;sheet=A0&amp;row=203&amp;col=7&amp;number==&amp;sourceID=11","=")</f>
        <v>=</v>
      </c>
      <c r="H203" s="4" t="str">
        <f>HYPERLINK("http://141.218.60.56/~jnz1568/getInfo.php?workbook=11_01.xlsx&amp;sheet=A0&amp;row=203&amp;col=8&amp;number=&amp;sourceID=11","")</f>
        <v/>
      </c>
      <c r="I203" s="4" t="str">
        <f>HYPERLINK("http://141.218.60.56/~jnz1568/getInfo.php?workbook=11_01.xlsx&amp;sheet=A0&amp;row=203&amp;col=9&amp;number=&amp;sourceID=11","")</f>
        <v/>
      </c>
      <c r="J203" s="4" t="str">
        <f>HYPERLINK("http://141.218.60.56/~jnz1568/getInfo.php?workbook=11_01.xlsx&amp;sheet=A0&amp;row=203&amp;col=10&amp;number=0&amp;sourceID=11","0")</f>
        <v>0</v>
      </c>
      <c r="K203" s="4" t="str">
        <f>HYPERLINK("http://141.218.60.56/~jnz1568/getInfo.php?workbook=11_01.xlsx&amp;sheet=A0&amp;row=203&amp;col=11&amp;number=&amp;sourceID=11","")</f>
        <v/>
      </c>
      <c r="L203" s="4" t="str">
        <f>HYPERLINK("http://141.218.60.56/~jnz1568/getInfo.php?workbook=11_01.xlsx&amp;sheet=A0&amp;row=203&amp;col=12&amp;number=0&amp;sourceID=11","0")</f>
        <v>0</v>
      </c>
      <c r="M203" s="4" t="str">
        <f>HYPERLINK("http://141.218.60.56/~jnz1568/getInfo.php?workbook=11_01.xlsx&amp;sheet=A0&amp;row=203&amp;col=13&amp;number=&amp;sourceID=11","")</f>
        <v/>
      </c>
      <c r="N203" s="4" t="str">
        <f>HYPERLINK("http://141.218.60.56/~jnz1568/getInfo.php?workbook=11_01.xlsx&amp;sheet=A0&amp;row=203&amp;col=14&amp;number=0&amp;sourceID=12","0")</f>
        <v>0</v>
      </c>
      <c r="O203" s="4" t="str">
        <f>HYPERLINK("http://141.218.60.56/~jnz1568/getInfo.php?workbook=11_01.xlsx&amp;sheet=A0&amp;row=203&amp;col=15&amp;number=&amp;sourceID=12","")</f>
        <v/>
      </c>
      <c r="P203" s="4" t="str">
        <f>HYPERLINK("http://141.218.60.56/~jnz1568/getInfo.php?workbook=11_01.xlsx&amp;sheet=A0&amp;row=203&amp;col=16&amp;number=&amp;sourceID=12","")</f>
        <v/>
      </c>
      <c r="Q203" s="4" t="str">
        <f>HYPERLINK("http://141.218.60.56/~jnz1568/getInfo.php?workbook=11_01.xlsx&amp;sheet=A0&amp;row=203&amp;col=17&amp;number=0&amp;sourceID=12","0")</f>
        <v>0</v>
      </c>
      <c r="R203" s="4" t="str">
        <f>HYPERLINK("http://141.218.60.56/~jnz1568/getInfo.php?workbook=11_01.xlsx&amp;sheet=A0&amp;row=203&amp;col=18&amp;number=&amp;sourceID=12","")</f>
        <v/>
      </c>
      <c r="S203" s="4" t="str">
        <f>HYPERLINK("http://141.218.60.56/~jnz1568/getInfo.php?workbook=11_01.xlsx&amp;sheet=A0&amp;row=203&amp;col=19&amp;number=0&amp;sourceID=12","0")</f>
        <v>0</v>
      </c>
      <c r="T203" s="4" t="str">
        <f>HYPERLINK("http://141.218.60.56/~jnz1568/getInfo.php?workbook=11_01.xlsx&amp;sheet=A0&amp;row=203&amp;col=20&amp;number=&amp;sourceID=12","")</f>
        <v/>
      </c>
      <c r="U203" s="4" t="str">
        <f>HYPERLINK("http://141.218.60.56/~jnz1568/getInfo.php?workbook=11_01.xlsx&amp;sheet=A0&amp;row=203&amp;col=21&amp;number=0&amp;sourceID=30","0")</f>
        <v>0</v>
      </c>
      <c r="V203" s="4" t="str">
        <f>HYPERLINK("http://141.218.60.56/~jnz1568/getInfo.php?workbook=11_01.xlsx&amp;sheet=A0&amp;row=203&amp;col=22&amp;number=&amp;sourceID=30","")</f>
        <v/>
      </c>
      <c r="W203" s="4" t="str">
        <f>HYPERLINK("http://141.218.60.56/~jnz1568/getInfo.php?workbook=11_01.xlsx&amp;sheet=A0&amp;row=203&amp;col=23&amp;number=&amp;sourceID=30","")</f>
        <v/>
      </c>
      <c r="X203" s="4" t="str">
        <f>HYPERLINK("http://141.218.60.56/~jnz1568/getInfo.php?workbook=11_01.xlsx&amp;sheet=A0&amp;row=203&amp;col=24&amp;number=&amp;sourceID=30","")</f>
        <v/>
      </c>
      <c r="Y203" s="4" t="str">
        <f>HYPERLINK("http://141.218.60.56/~jnz1568/getInfo.php?workbook=11_01.xlsx&amp;sheet=A0&amp;row=203&amp;col=25&amp;number=0&amp;sourceID=30","0")</f>
        <v>0</v>
      </c>
      <c r="Z203" s="4" t="str">
        <f>HYPERLINK("http://141.218.60.56/~jnz1568/getInfo.php?workbook=11_01.xlsx&amp;sheet=A0&amp;row=203&amp;col=26&amp;number=&amp;sourceID=13","")</f>
        <v/>
      </c>
      <c r="AA203" s="4" t="str">
        <f>HYPERLINK("http://141.218.60.56/~jnz1568/getInfo.php?workbook=11_01.xlsx&amp;sheet=A0&amp;row=203&amp;col=27&amp;number=&amp;sourceID=13","")</f>
        <v/>
      </c>
      <c r="AB203" s="4" t="str">
        <f>HYPERLINK("http://141.218.60.56/~jnz1568/getInfo.php?workbook=11_01.xlsx&amp;sheet=A0&amp;row=203&amp;col=28&amp;number=&amp;sourceID=13","")</f>
        <v/>
      </c>
      <c r="AC203" s="4" t="str">
        <f>HYPERLINK("http://141.218.60.56/~jnz1568/getInfo.php?workbook=11_01.xlsx&amp;sheet=A0&amp;row=203&amp;col=29&amp;number=&amp;sourceID=13","")</f>
        <v/>
      </c>
      <c r="AD203" s="4" t="str">
        <f>HYPERLINK("http://141.218.60.56/~jnz1568/getInfo.php?workbook=11_01.xlsx&amp;sheet=A0&amp;row=203&amp;col=30&amp;number=&amp;sourceID=13","")</f>
        <v/>
      </c>
      <c r="AE203" s="4" t="str">
        <f>HYPERLINK("http://141.218.60.56/~jnz1568/getInfo.php?workbook=11_01.xlsx&amp;sheet=A0&amp;row=203&amp;col=31&amp;number=&amp;sourceID=13","")</f>
        <v/>
      </c>
    </row>
    <row r="204" spans="1:31">
      <c r="A204" s="3">
        <v>11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HYPERLINK("http://141.218.60.56/~jnz1568/getInfo.php?workbook=11_01.xlsx&amp;sheet=A0&amp;row=204&amp;col=6&amp;number=&amp;sourceID=18","")</f>
        <v/>
      </c>
      <c r="G204" s="4" t="str">
        <f>HYPERLINK("http://141.218.60.56/~jnz1568/getInfo.php?workbook=11_01.xlsx&amp;sheet=A0&amp;row=204&amp;col=7&amp;number==&amp;sourceID=11","=")</f>
        <v>=</v>
      </c>
      <c r="H204" s="4" t="str">
        <f>HYPERLINK("http://141.218.60.56/~jnz1568/getInfo.php?workbook=11_01.xlsx&amp;sheet=A0&amp;row=204&amp;col=8&amp;number=8.9796&amp;sourceID=11","8.9796")</f>
        <v>8.9796</v>
      </c>
      <c r="I204" s="4" t="str">
        <f>HYPERLINK("http://141.218.60.56/~jnz1568/getInfo.php?workbook=11_01.xlsx&amp;sheet=A0&amp;row=204&amp;col=9&amp;number=&amp;sourceID=11","")</f>
        <v/>
      </c>
      <c r="J204" s="4" t="str">
        <f>HYPERLINK("http://141.218.60.56/~jnz1568/getInfo.php?workbook=11_01.xlsx&amp;sheet=A0&amp;row=204&amp;col=10&amp;number=0&amp;sourceID=11","0")</f>
        <v>0</v>
      </c>
      <c r="K204" s="4" t="str">
        <f>HYPERLINK("http://141.218.60.56/~jnz1568/getInfo.php?workbook=11_01.xlsx&amp;sheet=A0&amp;row=204&amp;col=11&amp;number=&amp;sourceID=11","")</f>
        <v/>
      </c>
      <c r="L204" s="4" t="str">
        <f>HYPERLINK("http://141.218.60.56/~jnz1568/getInfo.php?workbook=11_01.xlsx&amp;sheet=A0&amp;row=204&amp;col=12&amp;number=0&amp;sourceID=11","0")</f>
        <v>0</v>
      </c>
      <c r="M204" s="4" t="str">
        <f>HYPERLINK("http://141.218.60.56/~jnz1568/getInfo.php?workbook=11_01.xlsx&amp;sheet=A0&amp;row=204&amp;col=13&amp;number=&amp;sourceID=11","")</f>
        <v/>
      </c>
      <c r="N204" s="4" t="str">
        <f>HYPERLINK("http://141.218.60.56/~jnz1568/getInfo.php?workbook=11_01.xlsx&amp;sheet=A0&amp;row=204&amp;col=14&amp;number=8.9808&amp;sourceID=12","8.9808")</f>
        <v>8.9808</v>
      </c>
      <c r="O204" s="4" t="str">
        <f>HYPERLINK("http://141.218.60.56/~jnz1568/getInfo.php?workbook=11_01.xlsx&amp;sheet=A0&amp;row=204&amp;col=15&amp;number=8.9808&amp;sourceID=12","8.9808")</f>
        <v>8.9808</v>
      </c>
      <c r="P204" s="4" t="str">
        <f>HYPERLINK("http://141.218.60.56/~jnz1568/getInfo.php?workbook=11_01.xlsx&amp;sheet=A0&amp;row=204&amp;col=16&amp;number=&amp;sourceID=12","")</f>
        <v/>
      </c>
      <c r="Q204" s="4" t="str">
        <f>HYPERLINK("http://141.218.60.56/~jnz1568/getInfo.php?workbook=11_01.xlsx&amp;sheet=A0&amp;row=204&amp;col=17&amp;number=0&amp;sourceID=12","0")</f>
        <v>0</v>
      </c>
      <c r="R204" s="4" t="str">
        <f>HYPERLINK("http://141.218.60.56/~jnz1568/getInfo.php?workbook=11_01.xlsx&amp;sheet=A0&amp;row=204&amp;col=18&amp;number=&amp;sourceID=12","")</f>
        <v/>
      </c>
      <c r="S204" s="4" t="str">
        <f>HYPERLINK("http://141.218.60.56/~jnz1568/getInfo.php?workbook=11_01.xlsx&amp;sheet=A0&amp;row=204&amp;col=19&amp;number=0&amp;sourceID=12","0")</f>
        <v>0</v>
      </c>
      <c r="T204" s="4" t="str">
        <f>HYPERLINK("http://141.218.60.56/~jnz1568/getInfo.php?workbook=11_01.xlsx&amp;sheet=A0&amp;row=204&amp;col=20&amp;number=&amp;sourceID=12","")</f>
        <v/>
      </c>
      <c r="U204" s="4" t="str">
        <f>HYPERLINK("http://141.218.60.56/~jnz1568/getInfo.php?workbook=11_01.xlsx&amp;sheet=A0&amp;row=204&amp;col=21&amp;number=8.981&amp;sourceID=30","8.981")</f>
        <v>8.981</v>
      </c>
      <c r="V204" s="4" t="str">
        <f>HYPERLINK("http://141.218.60.56/~jnz1568/getInfo.php?workbook=11_01.xlsx&amp;sheet=A0&amp;row=204&amp;col=22&amp;number=8.981&amp;sourceID=30","8.981")</f>
        <v>8.981</v>
      </c>
      <c r="W204" s="4" t="str">
        <f>HYPERLINK("http://141.218.60.56/~jnz1568/getInfo.php?workbook=11_01.xlsx&amp;sheet=A0&amp;row=204&amp;col=23&amp;number=&amp;sourceID=30","")</f>
        <v/>
      </c>
      <c r="X204" s="4" t="str">
        <f>HYPERLINK("http://141.218.60.56/~jnz1568/getInfo.php?workbook=11_01.xlsx&amp;sheet=A0&amp;row=204&amp;col=24&amp;number=&amp;sourceID=30","")</f>
        <v/>
      </c>
      <c r="Y204" s="4" t="str">
        <f>HYPERLINK("http://141.218.60.56/~jnz1568/getInfo.php?workbook=11_01.xlsx&amp;sheet=A0&amp;row=204&amp;col=25&amp;number=0&amp;sourceID=30","0")</f>
        <v>0</v>
      </c>
      <c r="Z204" s="4" t="str">
        <f>HYPERLINK("http://141.218.60.56/~jnz1568/getInfo.php?workbook=11_01.xlsx&amp;sheet=A0&amp;row=204&amp;col=26&amp;number=&amp;sourceID=13","")</f>
        <v/>
      </c>
      <c r="AA204" s="4" t="str">
        <f>HYPERLINK("http://141.218.60.56/~jnz1568/getInfo.php?workbook=11_01.xlsx&amp;sheet=A0&amp;row=204&amp;col=27&amp;number=&amp;sourceID=13","")</f>
        <v/>
      </c>
      <c r="AB204" s="4" t="str">
        <f>HYPERLINK("http://141.218.60.56/~jnz1568/getInfo.php?workbook=11_01.xlsx&amp;sheet=A0&amp;row=204&amp;col=28&amp;number=&amp;sourceID=13","")</f>
        <v/>
      </c>
      <c r="AC204" s="4" t="str">
        <f>HYPERLINK("http://141.218.60.56/~jnz1568/getInfo.php?workbook=11_01.xlsx&amp;sheet=A0&amp;row=204&amp;col=29&amp;number=&amp;sourceID=13","")</f>
        <v/>
      </c>
      <c r="AD204" s="4" t="str">
        <f>HYPERLINK("http://141.218.60.56/~jnz1568/getInfo.php?workbook=11_01.xlsx&amp;sheet=A0&amp;row=204&amp;col=30&amp;number=&amp;sourceID=13","")</f>
        <v/>
      </c>
      <c r="AE204" s="4" t="str">
        <f>HYPERLINK("http://141.218.60.56/~jnz1568/getInfo.php?workbook=11_01.xlsx&amp;sheet=A0&amp;row=204&amp;col=31&amp;number=&amp;sourceID=13","")</f>
        <v/>
      </c>
    </row>
    <row r="205" spans="1:31">
      <c r="A205" s="3">
        <v>11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HYPERLINK("http://141.218.60.56/~jnz1568/getInfo.php?workbook=11_01.xlsx&amp;sheet=A0&amp;row=205&amp;col=6&amp;number=&amp;sourceID=18","")</f>
        <v/>
      </c>
      <c r="G205" s="4" t="str">
        <f>HYPERLINK("http://141.218.60.56/~jnz1568/getInfo.php?workbook=11_01.xlsx&amp;sheet=A0&amp;row=205&amp;col=7&amp;number==&amp;sourceID=11","=")</f>
        <v>=</v>
      </c>
      <c r="H205" s="4" t="str">
        <f>HYPERLINK("http://141.218.60.56/~jnz1568/getInfo.php?workbook=11_01.xlsx&amp;sheet=A0&amp;row=205&amp;col=8&amp;number=&amp;sourceID=11","")</f>
        <v/>
      </c>
      <c r="I205" s="4" t="str">
        <f>HYPERLINK("http://141.218.60.56/~jnz1568/getInfo.php?workbook=11_01.xlsx&amp;sheet=A0&amp;row=205&amp;col=9&amp;number=1.1142e-11&amp;sourceID=11","1.1142e-11")</f>
        <v>1.1142e-11</v>
      </c>
      <c r="J205" s="4" t="str">
        <f>HYPERLINK("http://141.218.60.56/~jnz1568/getInfo.php?workbook=11_01.xlsx&amp;sheet=A0&amp;row=205&amp;col=10&amp;number=&amp;sourceID=11","")</f>
        <v/>
      </c>
      <c r="K205" s="4" t="str">
        <f>HYPERLINK("http://141.218.60.56/~jnz1568/getInfo.php?workbook=11_01.xlsx&amp;sheet=A0&amp;row=205&amp;col=11&amp;number=7e-15&amp;sourceID=11","7e-15")</f>
        <v>7e-15</v>
      </c>
      <c r="L205" s="4" t="str">
        <f>HYPERLINK("http://141.218.60.56/~jnz1568/getInfo.php?workbook=11_01.xlsx&amp;sheet=A0&amp;row=205&amp;col=12&amp;number=&amp;sourceID=11","")</f>
        <v/>
      </c>
      <c r="M205" s="4" t="str">
        <f>HYPERLINK("http://141.218.60.56/~jnz1568/getInfo.php?workbook=11_01.xlsx&amp;sheet=A0&amp;row=205&amp;col=13&amp;number=0&amp;sourceID=11","0")</f>
        <v>0</v>
      </c>
      <c r="N205" s="4" t="str">
        <f>HYPERLINK("http://141.218.60.56/~jnz1568/getInfo.php?workbook=11_01.xlsx&amp;sheet=A0&amp;row=205&amp;col=14&amp;number=1.1151e-11&amp;sourceID=12","1.1151e-11")</f>
        <v>1.1151e-11</v>
      </c>
      <c r="O205" s="4" t="str">
        <f>HYPERLINK("http://141.218.60.56/~jnz1568/getInfo.php?workbook=11_01.xlsx&amp;sheet=A0&amp;row=205&amp;col=15&amp;number=&amp;sourceID=12","")</f>
        <v/>
      </c>
      <c r="P205" s="4" t="str">
        <f>HYPERLINK("http://141.218.60.56/~jnz1568/getInfo.php?workbook=11_01.xlsx&amp;sheet=A0&amp;row=205&amp;col=16&amp;number=1.1144e-11&amp;sourceID=12","1.1144e-11")</f>
        <v>1.1144e-11</v>
      </c>
      <c r="Q205" s="4" t="str">
        <f>HYPERLINK("http://141.218.60.56/~jnz1568/getInfo.php?workbook=11_01.xlsx&amp;sheet=A0&amp;row=205&amp;col=17&amp;number=&amp;sourceID=12","")</f>
        <v/>
      </c>
      <c r="R205" s="4" t="str">
        <f>HYPERLINK("http://141.218.60.56/~jnz1568/getInfo.php?workbook=11_01.xlsx&amp;sheet=A0&amp;row=205&amp;col=18&amp;number=7e-15&amp;sourceID=12","7e-15")</f>
        <v>7e-15</v>
      </c>
      <c r="S205" s="4" t="str">
        <f>HYPERLINK("http://141.218.60.56/~jnz1568/getInfo.php?workbook=11_01.xlsx&amp;sheet=A0&amp;row=205&amp;col=19&amp;number=&amp;sourceID=12","")</f>
        <v/>
      </c>
      <c r="T205" s="4" t="str">
        <f>HYPERLINK("http://141.218.60.56/~jnz1568/getInfo.php?workbook=11_01.xlsx&amp;sheet=A0&amp;row=205&amp;col=20&amp;number=0&amp;sourceID=12","0")</f>
        <v>0</v>
      </c>
      <c r="U205" s="4" t="str">
        <f>HYPERLINK("http://141.218.60.56/~jnz1568/getInfo.php?workbook=11_01.xlsx&amp;sheet=A0&amp;row=205&amp;col=21&amp;number=1.1147e-11&amp;sourceID=30","1.1147e-11")</f>
        <v>1.1147e-11</v>
      </c>
      <c r="V205" s="4" t="str">
        <f>HYPERLINK("http://141.218.60.56/~jnz1568/getInfo.php?workbook=11_01.xlsx&amp;sheet=A0&amp;row=205&amp;col=22&amp;number=&amp;sourceID=30","")</f>
        <v/>
      </c>
      <c r="W205" s="4" t="str">
        <f>HYPERLINK("http://141.218.60.56/~jnz1568/getInfo.php?workbook=11_01.xlsx&amp;sheet=A0&amp;row=205&amp;col=23&amp;number=1.114e-11&amp;sourceID=30","1.114e-11")</f>
        <v>1.114e-11</v>
      </c>
      <c r="X205" s="4" t="str">
        <f>HYPERLINK("http://141.218.60.56/~jnz1568/getInfo.php?workbook=11_01.xlsx&amp;sheet=A0&amp;row=205&amp;col=24&amp;number=7e-15&amp;sourceID=30","7e-15")</f>
        <v>7e-15</v>
      </c>
      <c r="Y205" s="4" t="str">
        <f>HYPERLINK("http://141.218.60.56/~jnz1568/getInfo.php?workbook=11_01.xlsx&amp;sheet=A0&amp;row=205&amp;col=25&amp;number=&amp;sourceID=30","")</f>
        <v/>
      </c>
      <c r="Z205" s="4" t="str">
        <f>HYPERLINK("http://141.218.60.56/~jnz1568/getInfo.php?workbook=11_01.xlsx&amp;sheet=A0&amp;row=205&amp;col=26&amp;number=&amp;sourceID=13","")</f>
        <v/>
      </c>
      <c r="AA205" s="4" t="str">
        <f>HYPERLINK("http://141.218.60.56/~jnz1568/getInfo.php?workbook=11_01.xlsx&amp;sheet=A0&amp;row=205&amp;col=27&amp;number=&amp;sourceID=13","")</f>
        <v/>
      </c>
      <c r="AB205" s="4" t="str">
        <f>HYPERLINK("http://141.218.60.56/~jnz1568/getInfo.php?workbook=11_01.xlsx&amp;sheet=A0&amp;row=205&amp;col=28&amp;number=&amp;sourceID=13","")</f>
        <v/>
      </c>
      <c r="AC205" s="4" t="str">
        <f>HYPERLINK("http://141.218.60.56/~jnz1568/getInfo.php?workbook=11_01.xlsx&amp;sheet=A0&amp;row=205&amp;col=29&amp;number=&amp;sourceID=13","")</f>
        <v/>
      </c>
      <c r="AD205" s="4" t="str">
        <f>HYPERLINK("http://141.218.60.56/~jnz1568/getInfo.php?workbook=11_01.xlsx&amp;sheet=A0&amp;row=205&amp;col=30&amp;number=&amp;sourceID=13","")</f>
        <v/>
      </c>
      <c r="AE205" s="4" t="str">
        <f>HYPERLINK("http://141.218.60.56/~jnz1568/getInfo.php?workbook=11_01.xlsx&amp;sheet=A0&amp;row=205&amp;col=31&amp;number=&amp;sourceID=13","")</f>
        <v/>
      </c>
    </row>
    <row r="206" spans="1:31">
      <c r="A206" s="3">
        <v>11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HYPERLINK("http://141.218.60.56/~jnz1568/getInfo.php?workbook=11_01.xlsx&amp;sheet=A0&amp;row=206&amp;col=6&amp;number=&amp;sourceID=18","")</f>
        <v/>
      </c>
      <c r="G206" s="4" t="str">
        <f>HYPERLINK("http://141.218.60.56/~jnz1568/getInfo.php?workbook=11_01.xlsx&amp;sheet=A0&amp;row=206&amp;col=7&amp;number==&amp;sourceID=11","=")</f>
        <v>=</v>
      </c>
      <c r="H206" s="4" t="str">
        <f>HYPERLINK("http://141.218.60.56/~jnz1568/getInfo.php?workbook=11_01.xlsx&amp;sheet=A0&amp;row=206&amp;col=8&amp;number=&amp;sourceID=11","")</f>
        <v/>
      </c>
      <c r="I206" s="4" t="str">
        <f>HYPERLINK("http://141.218.60.56/~jnz1568/getInfo.php?workbook=11_01.xlsx&amp;sheet=A0&amp;row=206&amp;col=9&amp;number=325490000&amp;sourceID=11","325490000")</f>
        <v>325490000</v>
      </c>
      <c r="J206" s="4" t="str">
        <f>HYPERLINK("http://141.218.60.56/~jnz1568/getInfo.php?workbook=11_01.xlsx&amp;sheet=A0&amp;row=206&amp;col=10&amp;number=&amp;sourceID=11","")</f>
        <v/>
      </c>
      <c r="K206" s="4" t="str">
        <f>HYPERLINK("http://141.218.60.56/~jnz1568/getInfo.php?workbook=11_01.xlsx&amp;sheet=A0&amp;row=206&amp;col=11&amp;number=&amp;sourceID=11","")</f>
        <v/>
      </c>
      <c r="L206" s="4" t="str">
        <f>HYPERLINK("http://141.218.60.56/~jnz1568/getInfo.php?workbook=11_01.xlsx&amp;sheet=A0&amp;row=206&amp;col=12&amp;number=&amp;sourceID=11","")</f>
        <v/>
      </c>
      <c r="M206" s="4" t="str">
        <f>HYPERLINK("http://141.218.60.56/~jnz1568/getInfo.php?workbook=11_01.xlsx&amp;sheet=A0&amp;row=206&amp;col=13&amp;number=694.51&amp;sourceID=11","694.51")</f>
        <v>694.51</v>
      </c>
      <c r="N206" s="4" t="str">
        <f>HYPERLINK("http://141.218.60.56/~jnz1568/getInfo.php?workbook=11_01.xlsx&amp;sheet=A0&amp;row=206&amp;col=14&amp;number=325490000&amp;sourceID=12","325490000")</f>
        <v>325490000</v>
      </c>
      <c r="O206" s="4" t="str">
        <f>HYPERLINK("http://141.218.60.56/~jnz1568/getInfo.php?workbook=11_01.xlsx&amp;sheet=A0&amp;row=206&amp;col=15&amp;number=&amp;sourceID=12","")</f>
        <v/>
      </c>
      <c r="P206" s="4" t="str">
        <f>HYPERLINK("http://141.218.60.56/~jnz1568/getInfo.php?workbook=11_01.xlsx&amp;sheet=A0&amp;row=206&amp;col=16&amp;number=325490000&amp;sourceID=12","325490000")</f>
        <v>325490000</v>
      </c>
      <c r="Q206" s="4" t="str">
        <f>HYPERLINK("http://141.218.60.56/~jnz1568/getInfo.php?workbook=11_01.xlsx&amp;sheet=A0&amp;row=206&amp;col=17&amp;number=&amp;sourceID=12","")</f>
        <v/>
      </c>
      <c r="R206" s="4" t="str">
        <f>HYPERLINK("http://141.218.60.56/~jnz1568/getInfo.php?workbook=11_01.xlsx&amp;sheet=A0&amp;row=206&amp;col=18&amp;number=&amp;sourceID=12","")</f>
        <v/>
      </c>
      <c r="S206" s="4" t="str">
        <f>HYPERLINK("http://141.218.60.56/~jnz1568/getInfo.php?workbook=11_01.xlsx&amp;sheet=A0&amp;row=206&amp;col=19&amp;number=&amp;sourceID=12","")</f>
        <v/>
      </c>
      <c r="T206" s="4" t="str">
        <f>HYPERLINK("http://141.218.60.56/~jnz1568/getInfo.php?workbook=11_01.xlsx&amp;sheet=A0&amp;row=206&amp;col=20&amp;number=694.53&amp;sourceID=12","694.53")</f>
        <v>694.53</v>
      </c>
      <c r="U206" s="4" t="str">
        <f>HYPERLINK("http://141.218.60.56/~jnz1568/getInfo.php?workbook=11_01.xlsx&amp;sheet=A0&amp;row=206&amp;col=21&amp;number=325500000&amp;sourceID=30","325500000")</f>
        <v>325500000</v>
      </c>
      <c r="V206" s="4" t="str">
        <f>HYPERLINK("http://141.218.60.56/~jnz1568/getInfo.php?workbook=11_01.xlsx&amp;sheet=A0&amp;row=206&amp;col=22&amp;number=&amp;sourceID=30","")</f>
        <v/>
      </c>
      <c r="W206" s="4" t="str">
        <f>HYPERLINK("http://141.218.60.56/~jnz1568/getInfo.php?workbook=11_01.xlsx&amp;sheet=A0&amp;row=206&amp;col=23&amp;number=325500000&amp;sourceID=30","325500000")</f>
        <v>325500000</v>
      </c>
      <c r="X206" s="4" t="str">
        <f>HYPERLINK("http://141.218.60.56/~jnz1568/getInfo.php?workbook=11_01.xlsx&amp;sheet=A0&amp;row=206&amp;col=24&amp;number=&amp;sourceID=30","")</f>
        <v/>
      </c>
      <c r="Y206" s="4" t="str">
        <f>HYPERLINK("http://141.218.60.56/~jnz1568/getInfo.php?workbook=11_01.xlsx&amp;sheet=A0&amp;row=206&amp;col=25&amp;number=&amp;sourceID=30","")</f>
        <v/>
      </c>
      <c r="Z206" s="4" t="str">
        <f>HYPERLINK("http://141.218.60.56/~jnz1568/getInfo.php?workbook=11_01.xlsx&amp;sheet=A0&amp;row=206&amp;col=26&amp;number=&amp;sourceID=13","")</f>
        <v/>
      </c>
      <c r="AA206" s="4" t="str">
        <f>HYPERLINK("http://141.218.60.56/~jnz1568/getInfo.php?workbook=11_01.xlsx&amp;sheet=A0&amp;row=206&amp;col=27&amp;number=&amp;sourceID=13","")</f>
        <v/>
      </c>
      <c r="AB206" s="4" t="str">
        <f>HYPERLINK("http://141.218.60.56/~jnz1568/getInfo.php?workbook=11_01.xlsx&amp;sheet=A0&amp;row=206&amp;col=28&amp;number=&amp;sourceID=13","")</f>
        <v/>
      </c>
      <c r="AC206" s="4" t="str">
        <f>HYPERLINK("http://141.218.60.56/~jnz1568/getInfo.php?workbook=11_01.xlsx&amp;sheet=A0&amp;row=206&amp;col=29&amp;number=&amp;sourceID=13","")</f>
        <v/>
      </c>
      <c r="AD206" s="4" t="str">
        <f>HYPERLINK("http://141.218.60.56/~jnz1568/getInfo.php?workbook=11_01.xlsx&amp;sheet=A0&amp;row=206&amp;col=30&amp;number=&amp;sourceID=13","")</f>
        <v/>
      </c>
      <c r="AE206" s="4" t="str">
        <f>HYPERLINK("http://141.218.60.56/~jnz1568/getInfo.php?workbook=11_01.xlsx&amp;sheet=A0&amp;row=206&amp;col=31&amp;number=&amp;sourceID=13","")</f>
        <v/>
      </c>
    </row>
    <row r="207" spans="1:31">
      <c r="A207" s="3">
        <v>11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HYPERLINK("http://141.218.60.56/~jnz1568/getInfo.php?workbook=11_01.xlsx&amp;sheet=A0&amp;row=207&amp;col=6&amp;number=&amp;sourceID=18","")</f>
        <v/>
      </c>
      <c r="G207" s="4" t="str">
        <f>HYPERLINK("http://141.218.60.56/~jnz1568/getInfo.php?workbook=11_01.xlsx&amp;sheet=A0&amp;row=207&amp;col=7&amp;number==&amp;sourceID=11","=")</f>
        <v>=</v>
      </c>
      <c r="H207" s="4" t="str">
        <f>HYPERLINK("http://141.218.60.56/~jnz1568/getInfo.php?workbook=11_01.xlsx&amp;sheet=A0&amp;row=207&amp;col=8&amp;number=&amp;sourceID=11","")</f>
        <v/>
      </c>
      <c r="I207" s="4" t="str">
        <f>HYPERLINK("http://141.218.60.56/~jnz1568/getInfo.php?workbook=11_01.xlsx&amp;sheet=A0&amp;row=207&amp;col=9&amp;number=&amp;sourceID=11","")</f>
        <v/>
      </c>
      <c r="J207" s="4" t="str">
        <f>HYPERLINK("http://141.218.60.56/~jnz1568/getInfo.php?workbook=11_01.xlsx&amp;sheet=A0&amp;row=207&amp;col=10&amp;number=81.193&amp;sourceID=11","81.193")</f>
        <v>81.193</v>
      </c>
      <c r="K207" s="4" t="str">
        <f>HYPERLINK("http://141.218.60.56/~jnz1568/getInfo.php?workbook=11_01.xlsx&amp;sheet=A0&amp;row=207&amp;col=11&amp;number=&amp;sourceID=11","")</f>
        <v/>
      </c>
      <c r="L207" s="4" t="str">
        <f>HYPERLINK("http://141.218.60.56/~jnz1568/getInfo.php?workbook=11_01.xlsx&amp;sheet=A0&amp;row=207&amp;col=12&amp;number=2836.8&amp;sourceID=11","2836.8")</f>
        <v>2836.8</v>
      </c>
      <c r="M207" s="4" t="str">
        <f>HYPERLINK("http://141.218.60.56/~jnz1568/getInfo.php?workbook=11_01.xlsx&amp;sheet=A0&amp;row=207&amp;col=13&amp;number=&amp;sourceID=11","")</f>
        <v/>
      </c>
      <c r="N207" s="4" t="str">
        <f>HYPERLINK("http://141.218.60.56/~jnz1568/getInfo.php?workbook=11_01.xlsx&amp;sheet=A0&amp;row=207&amp;col=14&amp;number=2918.1&amp;sourceID=12","2918.1")</f>
        <v>2918.1</v>
      </c>
      <c r="O207" s="4" t="str">
        <f>HYPERLINK("http://141.218.60.56/~jnz1568/getInfo.php?workbook=11_01.xlsx&amp;sheet=A0&amp;row=207&amp;col=15&amp;number=&amp;sourceID=12","")</f>
        <v/>
      </c>
      <c r="P207" s="4" t="str">
        <f>HYPERLINK("http://141.218.60.56/~jnz1568/getInfo.php?workbook=11_01.xlsx&amp;sheet=A0&amp;row=207&amp;col=16&amp;number=&amp;sourceID=12","")</f>
        <v/>
      </c>
      <c r="Q207" s="4" t="str">
        <f>HYPERLINK("http://141.218.60.56/~jnz1568/getInfo.php?workbook=11_01.xlsx&amp;sheet=A0&amp;row=207&amp;col=17&amp;number=81.196&amp;sourceID=12","81.196")</f>
        <v>81.196</v>
      </c>
      <c r="R207" s="4" t="str">
        <f>HYPERLINK("http://141.218.60.56/~jnz1568/getInfo.php?workbook=11_01.xlsx&amp;sheet=A0&amp;row=207&amp;col=18&amp;number=&amp;sourceID=12","")</f>
        <v/>
      </c>
      <c r="S207" s="4" t="str">
        <f>HYPERLINK("http://141.218.60.56/~jnz1568/getInfo.php?workbook=11_01.xlsx&amp;sheet=A0&amp;row=207&amp;col=19&amp;number=2836.9&amp;sourceID=12","2836.9")</f>
        <v>2836.9</v>
      </c>
      <c r="T207" s="4" t="str">
        <f>HYPERLINK("http://141.218.60.56/~jnz1568/getInfo.php?workbook=11_01.xlsx&amp;sheet=A0&amp;row=207&amp;col=20&amp;number=&amp;sourceID=12","")</f>
        <v/>
      </c>
      <c r="U207" s="4" t="str">
        <f>HYPERLINK("http://141.218.60.56/~jnz1568/getInfo.php?workbook=11_01.xlsx&amp;sheet=A0&amp;row=207&amp;col=21&amp;number=2837&amp;sourceID=30","2837")</f>
        <v>2837</v>
      </c>
      <c r="V207" s="4" t="str">
        <f>HYPERLINK("http://141.218.60.56/~jnz1568/getInfo.php?workbook=11_01.xlsx&amp;sheet=A0&amp;row=207&amp;col=22&amp;number=&amp;sourceID=30","")</f>
        <v/>
      </c>
      <c r="W207" s="4" t="str">
        <f>HYPERLINK("http://141.218.60.56/~jnz1568/getInfo.php?workbook=11_01.xlsx&amp;sheet=A0&amp;row=207&amp;col=23&amp;number=&amp;sourceID=30","")</f>
        <v/>
      </c>
      <c r="X207" s="4" t="str">
        <f>HYPERLINK("http://141.218.60.56/~jnz1568/getInfo.php?workbook=11_01.xlsx&amp;sheet=A0&amp;row=207&amp;col=24&amp;number=&amp;sourceID=30","")</f>
        <v/>
      </c>
      <c r="Y207" s="4" t="str">
        <f>HYPERLINK("http://141.218.60.56/~jnz1568/getInfo.php?workbook=11_01.xlsx&amp;sheet=A0&amp;row=207&amp;col=25&amp;number=2837&amp;sourceID=30","2837")</f>
        <v>2837</v>
      </c>
      <c r="Z207" s="4" t="str">
        <f>HYPERLINK("http://141.218.60.56/~jnz1568/getInfo.php?workbook=11_01.xlsx&amp;sheet=A0&amp;row=207&amp;col=26&amp;number=&amp;sourceID=13","")</f>
        <v/>
      </c>
      <c r="AA207" s="4" t="str">
        <f>HYPERLINK("http://141.218.60.56/~jnz1568/getInfo.php?workbook=11_01.xlsx&amp;sheet=A0&amp;row=207&amp;col=27&amp;number=&amp;sourceID=13","")</f>
        <v/>
      </c>
      <c r="AB207" s="4" t="str">
        <f>HYPERLINK("http://141.218.60.56/~jnz1568/getInfo.php?workbook=11_01.xlsx&amp;sheet=A0&amp;row=207&amp;col=28&amp;number=&amp;sourceID=13","")</f>
        <v/>
      </c>
      <c r="AC207" s="4" t="str">
        <f>HYPERLINK("http://141.218.60.56/~jnz1568/getInfo.php?workbook=11_01.xlsx&amp;sheet=A0&amp;row=207&amp;col=29&amp;number=&amp;sourceID=13","")</f>
        <v/>
      </c>
      <c r="AD207" s="4" t="str">
        <f>HYPERLINK("http://141.218.60.56/~jnz1568/getInfo.php?workbook=11_01.xlsx&amp;sheet=A0&amp;row=207&amp;col=30&amp;number=&amp;sourceID=13","")</f>
        <v/>
      </c>
      <c r="AE207" s="4" t="str">
        <f>HYPERLINK("http://141.218.60.56/~jnz1568/getInfo.php?workbook=11_01.xlsx&amp;sheet=A0&amp;row=207&amp;col=31&amp;number=&amp;sourceID=13","")</f>
        <v/>
      </c>
    </row>
    <row r="208" spans="1:31">
      <c r="A208" s="3">
        <v>11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HYPERLINK("http://141.218.60.56/~jnz1568/getInfo.php?workbook=11_01.xlsx&amp;sheet=A0&amp;row=208&amp;col=6&amp;number=&amp;sourceID=18","")</f>
        <v/>
      </c>
      <c r="G208" s="4" t="str">
        <f>HYPERLINK("http://141.218.60.56/~jnz1568/getInfo.php?workbook=11_01.xlsx&amp;sheet=A0&amp;row=208&amp;col=7&amp;number==&amp;sourceID=11","=")</f>
        <v>=</v>
      </c>
      <c r="H208" s="4" t="str">
        <f>HYPERLINK("http://141.218.60.56/~jnz1568/getInfo.php?workbook=11_01.xlsx&amp;sheet=A0&amp;row=208&amp;col=8&amp;number=&amp;sourceID=11","")</f>
        <v/>
      </c>
      <c r="I208" s="4" t="str">
        <f>HYPERLINK("http://141.218.60.56/~jnz1568/getInfo.php?workbook=11_01.xlsx&amp;sheet=A0&amp;row=208&amp;col=9&amp;number=1774300&amp;sourceID=11","1774300")</f>
        <v>1774300</v>
      </c>
      <c r="J208" s="4" t="str">
        <f>HYPERLINK("http://141.218.60.56/~jnz1568/getInfo.php?workbook=11_01.xlsx&amp;sheet=A0&amp;row=208&amp;col=10&amp;number=&amp;sourceID=11","")</f>
        <v/>
      </c>
      <c r="K208" s="4" t="str">
        <f>HYPERLINK("http://141.218.60.56/~jnz1568/getInfo.php?workbook=11_01.xlsx&amp;sheet=A0&amp;row=208&amp;col=11&amp;number=&amp;sourceID=11","")</f>
        <v/>
      </c>
      <c r="L208" s="4" t="str">
        <f>HYPERLINK("http://141.218.60.56/~jnz1568/getInfo.php?workbook=11_01.xlsx&amp;sheet=A0&amp;row=208&amp;col=12&amp;number=&amp;sourceID=11","")</f>
        <v/>
      </c>
      <c r="M208" s="4" t="str">
        <f>HYPERLINK("http://141.218.60.56/~jnz1568/getInfo.php?workbook=11_01.xlsx&amp;sheet=A0&amp;row=208&amp;col=13&amp;number=0.18094&amp;sourceID=11","0.18094")</f>
        <v>0.18094</v>
      </c>
      <c r="N208" s="4" t="str">
        <f>HYPERLINK("http://141.218.60.56/~jnz1568/getInfo.php?workbook=11_01.xlsx&amp;sheet=A0&amp;row=208&amp;col=14&amp;number=1774300&amp;sourceID=12","1774300")</f>
        <v>1774300</v>
      </c>
      <c r="O208" s="4" t="str">
        <f>HYPERLINK("http://141.218.60.56/~jnz1568/getInfo.php?workbook=11_01.xlsx&amp;sheet=A0&amp;row=208&amp;col=15&amp;number=&amp;sourceID=12","")</f>
        <v/>
      </c>
      <c r="P208" s="4" t="str">
        <f>HYPERLINK("http://141.218.60.56/~jnz1568/getInfo.php?workbook=11_01.xlsx&amp;sheet=A0&amp;row=208&amp;col=16&amp;number=1774300&amp;sourceID=12","1774300")</f>
        <v>1774300</v>
      </c>
      <c r="Q208" s="4" t="str">
        <f>HYPERLINK("http://141.218.60.56/~jnz1568/getInfo.php?workbook=11_01.xlsx&amp;sheet=A0&amp;row=208&amp;col=17&amp;number=&amp;sourceID=12","")</f>
        <v/>
      </c>
      <c r="R208" s="4" t="str">
        <f>HYPERLINK("http://141.218.60.56/~jnz1568/getInfo.php?workbook=11_01.xlsx&amp;sheet=A0&amp;row=208&amp;col=18&amp;number=&amp;sourceID=12","")</f>
        <v/>
      </c>
      <c r="S208" s="4" t="str">
        <f>HYPERLINK("http://141.218.60.56/~jnz1568/getInfo.php?workbook=11_01.xlsx&amp;sheet=A0&amp;row=208&amp;col=19&amp;number=&amp;sourceID=12","")</f>
        <v/>
      </c>
      <c r="T208" s="4" t="str">
        <f>HYPERLINK("http://141.218.60.56/~jnz1568/getInfo.php?workbook=11_01.xlsx&amp;sheet=A0&amp;row=208&amp;col=20&amp;number=0.18094&amp;sourceID=12","0.18094")</f>
        <v>0.18094</v>
      </c>
      <c r="U208" s="4" t="str">
        <f>HYPERLINK("http://141.218.60.56/~jnz1568/getInfo.php?workbook=11_01.xlsx&amp;sheet=A0&amp;row=208&amp;col=21&amp;number=1774000&amp;sourceID=30","1774000")</f>
        <v>1774000</v>
      </c>
      <c r="V208" s="4" t="str">
        <f>HYPERLINK("http://141.218.60.56/~jnz1568/getInfo.php?workbook=11_01.xlsx&amp;sheet=A0&amp;row=208&amp;col=22&amp;number=&amp;sourceID=30","")</f>
        <v/>
      </c>
      <c r="W208" s="4" t="str">
        <f>HYPERLINK("http://141.218.60.56/~jnz1568/getInfo.php?workbook=11_01.xlsx&amp;sheet=A0&amp;row=208&amp;col=23&amp;number=1774000&amp;sourceID=30","1774000")</f>
        <v>1774000</v>
      </c>
      <c r="X208" s="4" t="str">
        <f>HYPERLINK("http://141.218.60.56/~jnz1568/getInfo.php?workbook=11_01.xlsx&amp;sheet=A0&amp;row=208&amp;col=24&amp;number=&amp;sourceID=30","")</f>
        <v/>
      </c>
      <c r="Y208" s="4" t="str">
        <f>HYPERLINK("http://141.218.60.56/~jnz1568/getInfo.php?workbook=11_01.xlsx&amp;sheet=A0&amp;row=208&amp;col=25&amp;number=&amp;sourceID=30","")</f>
        <v/>
      </c>
      <c r="Z208" s="4" t="str">
        <f>HYPERLINK("http://141.218.60.56/~jnz1568/getInfo.php?workbook=11_01.xlsx&amp;sheet=A0&amp;row=208&amp;col=26&amp;number=&amp;sourceID=13","")</f>
        <v/>
      </c>
      <c r="AA208" s="4" t="str">
        <f>HYPERLINK("http://141.218.60.56/~jnz1568/getInfo.php?workbook=11_01.xlsx&amp;sheet=A0&amp;row=208&amp;col=27&amp;number=&amp;sourceID=13","")</f>
        <v/>
      </c>
      <c r="AB208" s="4" t="str">
        <f>HYPERLINK("http://141.218.60.56/~jnz1568/getInfo.php?workbook=11_01.xlsx&amp;sheet=A0&amp;row=208&amp;col=28&amp;number=&amp;sourceID=13","")</f>
        <v/>
      </c>
      <c r="AC208" s="4" t="str">
        <f>HYPERLINK("http://141.218.60.56/~jnz1568/getInfo.php?workbook=11_01.xlsx&amp;sheet=A0&amp;row=208&amp;col=29&amp;number=&amp;sourceID=13","")</f>
        <v/>
      </c>
      <c r="AD208" s="4" t="str">
        <f>HYPERLINK("http://141.218.60.56/~jnz1568/getInfo.php?workbook=11_01.xlsx&amp;sheet=A0&amp;row=208&amp;col=30&amp;number=&amp;sourceID=13","")</f>
        <v/>
      </c>
      <c r="AE208" s="4" t="str">
        <f>HYPERLINK("http://141.218.60.56/~jnz1568/getInfo.php?workbook=11_01.xlsx&amp;sheet=A0&amp;row=208&amp;col=31&amp;number=&amp;sourceID=13","")</f>
        <v/>
      </c>
    </row>
    <row r="209" spans="1:31">
      <c r="A209" s="3">
        <v>11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HYPERLINK("http://141.218.60.56/~jnz1568/getInfo.php?workbook=11_01.xlsx&amp;sheet=A0&amp;row=209&amp;col=6&amp;number=&amp;sourceID=18","")</f>
        <v/>
      </c>
      <c r="G209" s="4" t="str">
        <f>HYPERLINK("http://141.218.60.56/~jnz1568/getInfo.php?workbook=11_01.xlsx&amp;sheet=A0&amp;row=209&amp;col=7&amp;number==&amp;sourceID=11","=")</f>
        <v>=</v>
      </c>
      <c r="H209" s="4" t="str">
        <f>HYPERLINK("http://141.218.60.56/~jnz1568/getInfo.php?workbook=11_01.xlsx&amp;sheet=A0&amp;row=209&amp;col=8&amp;number=138070000000&amp;sourceID=11","138070000000")</f>
        <v>138070000000</v>
      </c>
      <c r="I209" s="4" t="str">
        <f>HYPERLINK("http://141.218.60.56/~jnz1568/getInfo.php?workbook=11_01.xlsx&amp;sheet=A0&amp;row=209&amp;col=9&amp;number=&amp;sourceID=11","")</f>
        <v/>
      </c>
      <c r="J209" s="4" t="str">
        <f>HYPERLINK("http://141.218.60.56/~jnz1568/getInfo.php?workbook=11_01.xlsx&amp;sheet=A0&amp;row=209&amp;col=10&amp;number=67.121&amp;sourceID=11","67.121")</f>
        <v>67.121</v>
      </c>
      <c r="K209" s="4" t="str">
        <f>HYPERLINK("http://141.218.60.56/~jnz1568/getInfo.php?workbook=11_01.xlsx&amp;sheet=A0&amp;row=209&amp;col=11&amp;number=&amp;sourceID=11","")</f>
        <v/>
      </c>
      <c r="L209" s="4" t="str">
        <f>HYPERLINK("http://141.218.60.56/~jnz1568/getInfo.php?workbook=11_01.xlsx&amp;sheet=A0&amp;row=209&amp;col=12&amp;number=15356&amp;sourceID=11","15356")</f>
        <v>15356</v>
      </c>
      <c r="M209" s="4" t="str">
        <f>HYPERLINK("http://141.218.60.56/~jnz1568/getInfo.php?workbook=11_01.xlsx&amp;sheet=A0&amp;row=209&amp;col=13&amp;number=&amp;sourceID=11","")</f>
        <v/>
      </c>
      <c r="N209" s="4" t="str">
        <f>HYPERLINK("http://141.218.60.56/~jnz1568/getInfo.php?workbook=11_01.xlsx&amp;sheet=A0&amp;row=209&amp;col=14&amp;number=138070000000&amp;sourceID=12","138070000000")</f>
        <v>138070000000</v>
      </c>
      <c r="O209" s="4" t="str">
        <f>HYPERLINK("http://141.218.60.56/~jnz1568/getInfo.php?workbook=11_01.xlsx&amp;sheet=A0&amp;row=209&amp;col=15&amp;number=138070000000&amp;sourceID=12","138070000000")</f>
        <v>138070000000</v>
      </c>
      <c r="P209" s="4" t="str">
        <f>HYPERLINK("http://141.218.60.56/~jnz1568/getInfo.php?workbook=11_01.xlsx&amp;sheet=A0&amp;row=209&amp;col=16&amp;number=&amp;sourceID=12","")</f>
        <v/>
      </c>
      <c r="Q209" s="4" t="str">
        <f>HYPERLINK("http://141.218.60.56/~jnz1568/getInfo.php?workbook=11_01.xlsx&amp;sheet=A0&amp;row=209&amp;col=17&amp;number=67.123&amp;sourceID=12","67.123")</f>
        <v>67.123</v>
      </c>
      <c r="R209" s="4" t="str">
        <f>HYPERLINK("http://141.218.60.56/~jnz1568/getInfo.php?workbook=11_01.xlsx&amp;sheet=A0&amp;row=209&amp;col=18&amp;number=&amp;sourceID=12","")</f>
        <v/>
      </c>
      <c r="S209" s="4" t="str">
        <f>HYPERLINK("http://141.218.60.56/~jnz1568/getInfo.php?workbook=11_01.xlsx&amp;sheet=A0&amp;row=209&amp;col=19&amp;number=15357&amp;sourceID=12","15357")</f>
        <v>15357</v>
      </c>
      <c r="T209" s="4" t="str">
        <f>HYPERLINK("http://141.218.60.56/~jnz1568/getInfo.php?workbook=11_01.xlsx&amp;sheet=A0&amp;row=209&amp;col=20&amp;number=&amp;sourceID=12","")</f>
        <v/>
      </c>
      <c r="U209" s="4" t="str">
        <f>HYPERLINK("http://141.218.60.56/~jnz1568/getInfo.php?workbook=11_01.xlsx&amp;sheet=A0&amp;row=209&amp;col=21&amp;number=138100015360&amp;sourceID=30","138100015360")</f>
        <v>138100015360</v>
      </c>
      <c r="V209" s="4" t="str">
        <f>HYPERLINK("http://141.218.60.56/~jnz1568/getInfo.php?workbook=11_01.xlsx&amp;sheet=A0&amp;row=209&amp;col=22&amp;number=138100000000&amp;sourceID=30","138100000000")</f>
        <v>138100000000</v>
      </c>
      <c r="W209" s="4" t="str">
        <f>HYPERLINK("http://141.218.60.56/~jnz1568/getInfo.php?workbook=11_01.xlsx&amp;sheet=A0&amp;row=209&amp;col=23&amp;number=&amp;sourceID=30","")</f>
        <v/>
      </c>
      <c r="X209" s="4" t="str">
        <f>HYPERLINK("http://141.218.60.56/~jnz1568/getInfo.php?workbook=11_01.xlsx&amp;sheet=A0&amp;row=209&amp;col=24&amp;number=&amp;sourceID=30","")</f>
        <v/>
      </c>
      <c r="Y209" s="4" t="str">
        <f>HYPERLINK("http://141.218.60.56/~jnz1568/getInfo.php?workbook=11_01.xlsx&amp;sheet=A0&amp;row=209&amp;col=25&amp;number=15360&amp;sourceID=30","15360")</f>
        <v>15360</v>
      </c>
      <c r="Z209" s="4" t="str">
        <f>HYPERLINK("http://141.218.60.56/~jnz1568/getInfo.php?workbook=11_01.xlsx&amp;sheet=A0&amp;row=209&amp;col=26&amp;number=&amp;sourceID=13","")</f>
        <v/>
      </c>
      <c r="AA209" s="4" t="str">
        <f>HYPERLINK("http://141.218.60.56/~jnz1568/getInfo.php?workbook=11_01.xlsx&amp;sheet=A0&amp;row=209&amp;col=27&amp;number=&amp;sourceID=13","")</f>
        <v/>
      </c>
      <c r="AB209" s="4" t="str">
        <f>HYPERLINK("http://141.218.60.56/~jnz1568/getInfo.php?workbook=11_01.xlsx&amp;sheet=A0&amp;row=209&amp;col=28&amp;number=&amp;sourceID=13","")</f>
        <v/>
      </c>
      <c r="AC209" s="4" t="str">
        <f>HYPERLINK("http://141.218.60.56/~jnz1568/getInfo.php?workbook=11_01.xlsx&amp;sheet=A0&amp;row=209&amp;col=29&amp;number=&amp;sourceID=13","")</f>
        <v/>
      </c>
      <c r="AD209" s="4" t="str">
        <f>HYPERLINK("http://141.218.60.56/~jnz1568/getInfo.php?workbook=11_01.xlsx&amp;sheet=A0&amp;row=209&amp;col=30&amp;number=&amp;sourceID=13","")</f>
        <v/>
      </c>
      <c r="AE209" s="4" t="str">
        <f>HYPERLINK("http://141.218.60.56/~jnz1568/getInfo.php?workbook=11_01.xlsx&amp;sheet=A0&amp;row=209&amp;col=31&amp;number=&amp;sourceID=13","")</f>
        <v/>
      </c>
    </row>
    <row r="210" spans="1:31">
      <c r="A210" s="3">
        <v>11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HYPERLINK("http://141.218.60.56/~jnz1568/getInfo.php?workbook=11_01.xlsx&amp;sheet=A0&amp;row=210&amp;col=6&amp;number=&amp;sourceID=18","")</f>
        <v/>
      </c>
      <c r="G210" s="4" t="str">
        <f>HYPERLINK("http://141.218.60.56/~jnz1568/getInfo.php?workbook=11_01.xlsx&amp;sheet=A0&amp;row=210&amp;col=7&amp;number==&amp;sourceID=11","=")</f>
        <v>=</v>
      </c>
      <c r="H210" s="4" t="str">
        <f>HYPERLINK("http://141.218.60.56/~jnz1568/getInfo.php?workbook=11_01.xlsx&amp;sheet=A0&amp;row=210&amp;col=8&amp;number=&amp;sourceID=11","")</f>
        <v/>
      </c>
      <c r="I210" s="4" t="str">
        <f>HYPERLINK("http://141.218.60.56/~jnz1568/getInfo.php?workbook=11_01.xlsx&amp;sheet=A0&amp;row=210&amp;col=9&amp;number=&amp;sourceID=11","")</f>
        <v/>
      </c>
      <c r="J210" s="4" t="str">
        <f>HYPERLINK("http://141.218.60.56/~jnz1568/getInfo.php?workbook=11_01.xlsx&amp;sheet=A0&amp;row=210&amp;col=10&amp;number=9.3998&amp;sourceID=11","9.3998")</f>
        <v>9.3998</v>
      </c>
      <c r="K210" s="4" t="str">
        <f>HYPERLINK("http://141.218.60.56/~jnz1568/getInfo.php?workbook=11_01.xlsx&amp;sheet=A0&amp;row=210&amp;col=11&amp;number=&amp;sourceID=11","")</f>
        <v/>
      </c>
      <c r="L210" s="4" t="str">
        <f>HYPERLINK("http://141.218.60.56/~jnz1568/getInfo.php?workbook=11_01.xlsx&amp;sheet=A0&amp;row=210&amp;col=12&amp;number=116.62&amp;sourceID=11","116.62")</f>
        <v>116.62</v>
      </c>
      <c r="M210" s="4" t="str">
        <f>HYPERLINK("http://141.218.60.56/~jnz1568/getInfo.php?workbook=11_01.xlsx&amp;sheet=A0&amp;row=210&amp;col=13&amp;number=&amp;sourceID=11","")</f>
        <v/>
      </c>
      <c r="N210" s="4" t="str">
        <f>HYPERLINK("http://141.218.60.56/~jnz1568/getInfo.php?workbook=11_01.xlsx&amp;sheet=A0&amp;row=210&amp;col=14&amp;number=126.02&amp;sourceID=12","126.02")</f>
        <v>126.02</v>
      </c>
      <c r="O210" s="4" t="str">
        <f>HYPERLINK("http://141.218.60.56/~jnz1568/getInfo.php?workbook=11_01.xlsx&amp;sheet=A0&amp;row=210&amp;col=15&amp;number=&amp;sourceID=12","")</f>
        <v/>
      </c>
      <c r="P210" s="4" t="str">
        <f>HYPERLINK("http://141.218.60.56/~jnz1568/getInfo.php?workbook=11_01.xlsx&amp;sheet=A0&amp;row=210&amp;col=16&amp;number=&amp;sourceID=12","")</f>
        <v/>
      </c>
      <c r="Q210" s="4" t="str">
        <f>HYPERLINK("http://141.218.60.56/~jnz1568/getInfo.php?workbook=11_01.xlsx&amp;sheet=A0&amp;row=210&amp;col=17&amp;number=9.4&amp;sourceID=12","9.4")</f>
        <v>9.4</v>
      </c>
      <c r="R210" s="4" t="str">
        <f>HYPERLINK("http://141.218.60.56/~jnz1568/getInfo.php?workbook=11_01.xlsx&amp;sheet=A0&amp;row=210&amp;col=18&amp;number=&amp;sourceID=12","")</f>
        <v/>
      </c>
      <c r="S210" s="4" t="str">
        <f>HYPERLINK("http://141.218.60.56/~jnz1568/getInfo.php?workbook=11_01.xlsx&amp;sheet=A0&amp;row=210&amp;col=19&amp;number=116.62&amp;sourceID=12","116.62")</f>
        <v>116.62</v>
      </c>
      <c r="T210" s="4" t="str">
        <f>HYPERLINK("http://141.218.60.56/~jnz1568/getInfo.php?workbook=11_01.xlsx&amp;sheet=A0&amp;row=210&amp;col=20&amp;number=&amp;sourceID=12","")</f>
        <v/>
      </c>
      <c r="U210" s="4" t="str">
        <f>HYPERLINK("http://141.218.60.56/~jnz1568/getInfo.php?workbook=11_01.xlsx&amp;sheet=A0&amp;row=210&amp;col=21&amp;number=116.6&amp;sourceID=30","116.6")</f>
        <v>116.6</v>
      </c>
      <c r="V210" s="4" t="str">
        <f>HYPERLINK("http://141.218.60.56/~jnz1568/getInfo.php?workbook=11_01.xlsx&amp;sheet=A0&amp;row=210&amp;col=22&amp;number=&amp;sourceID=30","")</f>
        <v/>
      </c>
      <c r="W210" s="4" t="str">
        <f>HYPERLINK("http://141.218.60.56/~jnz1568/getInfo.php?workbook=11_01.xlsx&amp;sheet=A0&amp;row=210&amp;col=23&amp;number=&amp;sourceID=30","")</f>
        <v/>
      </c>
      <c r="X210" s="4" t="str">
        <f>HYPERLINK("http://141.218.60.56/~jnz1568/getInfo.php?workbook=11_01.xlsx&amp;sheet=A0&amp;row=210&amp;col=24&amp;number=&amp;sourceID=30","")</f>
        <v/>
      </c>
      <c r="Y210" s="4" t="str">
        <f>HYPERLINK("http://141.218.60.56/~jnz1568/getInfo.php?workbook=11_01.xlsx&amp;sheet=A0&amp;row=210&amp;col=25&amp;number=116.6&amp;sourceID=30","116.6")</f>
        <v>116.6</v>
      </c>
      <c r="Z210" s="4" t="str">
        <f>HYPERLINK("http://141.218.60.56/~jnz1568/getInfo.php?workbook=11_01.xlsx&amp;sheet=A0&amp;row=210&amp;col=26&amp;number=&amp;sourceID=13","")</f>
        <v/>
      </c>
      <c r="AA210" s="4" t="str">
        <f>HYPERLINK("http://141.218.60.56/~jnz1568/getInfo.php?workbook=11_01.xlsx&amp;sheet=A0&amp;row=210&amp;col=27&amp;number=&amp;sourceID=13","")</f>
        <v/>
      </c>
      <c r="AB210" s="4" t="str">
        <f>HYPERLINK("http://141.218.60.56/~jnz1568/getInfo.php?workbook=11_01.xlsx&amp;sheet=A0&amp;row=210&amp;col=28&amp;number=&amp;sourceID=13","")</f>
        <v/>
      </c>
      <c r="AC210" s="4" t="str">
        <f>HYPERLINK("http://141.218.60.56/~jnz1568/getInfo.php?workbook=11_01.xlsx&amp;sheet=A0&amp;row=210&amp;col=29&amp;number=&amp;sourceID=13","")</f>
        <v/>
      </c>
      <c r="AD210" s="4" t="str">
        <f>HYPERLINK("http://141.218.60.56/~jnz1568/getInfo.php?workbook=11_01.xlsx&amp;sheet=A0&amp;row=210&amp;col=30&amp;number=&amp;sourceID=13","")</f>
        <v/>
      </c>
      <c r="AE210" s="4" t="str">
        <f>HYPERLINK("http://141.218.60.56/~jnz1568/getInfo.php?workbook=11_01.xlsx&amp;sheet=A0&amp;row=210&amp;col=31&amp;number=&amp;sourceID=13","")</f>
        <v/>
      </c>
    </row>
    <row r="211" spans="1:31">
      <c r="A211" s="3">
        <v>11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HYPERLINK("http://141.218.60.56/~jnz1568/getInfo.php?workbook=11_01.xlsx&amp;sheet=A0&amp;row=211&amp;col=6&amp;number=&amp;sourceID=18","")</f>
        <v/>
      </c>
      <c r="G211" s="4" t="str">
        <f>HYPERLINK("http://141.218.60.56/~jnz1568/getInfo.php?workbook=11_01.xlsx&amp;sheet=A0&amp;row=211&amp;col=7&amp;number==&amp;sourceID=11","=")</f>
        <v>=</v>
      </c>
      <c r="H211" s="4" t="str">
        <f>HYPERLINK("http://141.218.60.56/~jnz1568/getInfo.php?workbook=11_01.xlsx&amp;sheet=A0&amp;row=211&amp;col=8&amp;number=&amp;sourceID=11","")</f>
        <v/>
      </c>
      <c r="I211" s="4" t="str">
        <f>HYPERLINK("http://141.218.60.56/~jnz1568/getInfo.php?workbook=11_01.xlsx&amp;sheet=A0&amp;row=211&amp;col=9&amp;number=1952300&amp;sourceID=11","1952300")</f>
        <v>1952300</v>
      </c>
      <c r="J211" s="4" t="str">
        <f>HYPERLINK("http://141.218.60.56/~jnz1568/getInfo.php?workbook=11_01.xlsx&amp;sheet=A0&amp;row=211&amp;col=10&amp;number=&amp;sourceID=11","")</f>
        <v/>
      </c>
      <c r="K211" s="4" t="str">
        <f>HYPERLINK("http://141.218.60.56/~jnz1568/getInfo.php?workbook=11_01.xlsx&amp;sheet=A0&amp;row=211&amp;col=11&amp;number=&amp;sourceID=11","")</f>
        <v/>
      </c>
      <c r="L211" s="4" t="str">
        <f>HYPERLINK("http://141.218.60.56/~jnz1568/getInfo.php?workbook=11_01.xlsx&amp;sheet=A0&amp;row=211&amp;col=12&amp;number=&amp;sourceID=11","")</f>
        <v/>
      </c>
      <c r="M211" s="4" t="str">
        <f>HYPERLINK("http://141.218.60.56/~jnz1568/getInfo.php?workbook=11_01.xlsx&amp;sheet=A0&amp;row=211&amp;col=13&amp;number=0.022873&amp;sourceID=11","0.022873")</f>
        <v>0.022873</v>
      </c>
      <c r="N211" s="4" t="str">
        <f>HYPERLINK("http://141.218.60.56/~jnz1568/getInfo.php?workbook=11_01.xlsx&amp;sheet=A0&amp;row=211&amp;col=14&amp;number=1952400&amp;sourceID=12","1952400")</f>
        <v>1952400</v>
      </c>
      <c r="O211" s="4" t="str">
        <f>HYPERLINK("http://141.218.60.56/~jnz1568/getInfo.php?workbook=11_01.xlsx&amp;sheet=A0&amp;row=211&amp;col=15&amp;number=&amp;sourceID=12","")</f>
        <v/>
      </c>
      <c r="P211" s="4" t="str">
        <f>HYPERLINK("http://141.218.60.56/~jnz1568/getInfo.php?workbook=11_01.xlsx&amp;sheet=A0&amp;row=211&amp;col=16&amp;number=1952400&amp;sourceID=12","1952400")</f>
        <v>1952400</v>
      </c>
      <c r="Q211" s="4" t="str">
        <f>HYPERLINK("http://141.218.60.56/~jnz1568/getInfo.php?workbook=11_01.xlsx&amp;sheet=A0&amp;row=211&amp;col=17&amp;number=&amp;sourceID=12","")</f>
        <v/>
      </c>
      <c r="R211" s="4" t="str">
        <f>HYPERLINK("http://141.218.60.56/~jnz1568/getInfo.php?workbook=11_01.xlsx&amp;sheet=A0&amp;row=211&amp;col=18&amp;number=&amp;sourceID=12","")</f>
        <v/>
      </c>
      <c r="S211" s="4" t="str">
        <f>HYPERLINK("http://141.218.60.56/~jnz1568/getInfo.php?workbook=11_01.xlsx&amp;sheet=A0&amp;row=211&amp;col=19&amp;number=&amp;sourceID=12","")</f>
        <v/>
      </c>
      <c r="T211" s="4" t="str">
        <f>HYPERLINK("http://141.218.60.56/~jnz1568/getInfo.php?workbook=11_01.xlsx&amp;sheet=A0&amp;row=211&amp;col=20&amp;number=0.022873&amp;sourceID=12","0.022873")</f>
        <v>0.022873</v>
      </c>
      <c r="U211" s="4" t="str">
        <f>HYPERLINK("http://141.218.60.56/~jnz1568/getInfo.php?workbook=11_01.xlsx&amp;sheet=A0&amp;row=211&amp;col=21&amp;number=1952000&amp;sourceID=30","1952000")</f>
        <v>1952000</v>
      </c>
      <c r="V211" s="4" t="str">
        <f>HYPERLINK("http://141.218.60.56/~jnz1568/getInfo.php?workbook=11_01.xlsx&amp;sheet=A0&amp;row=211&amp;col=22&amp;number=&amp;sourceID=30","")</f>
        <v/>
      </c>
      <c r="W211" s="4" t="str">
        <f>HYPERLINK("http://141.218.60.56/~jnz1568/getInfo.php?workbook=11_01.xlsx&amp;sheet=A0&amp;row=211&amp;col=23&amp;number=1952000&amp;sourceID=30","1952000")</f>
        <v>1952000</v>
      </c>
      <c r="X211" s="4" t="str">
        <f>HYPERLINK("http://141.218.60.56/~jnz1568/getInfo.php?workbook=11_01.xlsx&amp;sheet=A0&amp;row=211&amp;col=24&amp;number=&amp;sourceID=30","")</f>
        <v/>
      </c>
      <c r="Y211" s="4" t="str">
        <f>HYPERLINK("http://141.218.60.56/~jnz1568/getInfo.php?workbook=11_01.xlsx&amp;sheet=A0&amp;row=211&amp;col=25&amp;number=&amp;sourceID=30","")</f>
        <v/>
      </c>
      <c r="Z211" s="4" t="str">
        <f>HYPERLINK("http://141.218.60.56/~jnz1568/getInfo.php?workbook=11_01.xlsx&amp;sheet=A0&amp;row=211&amp;col=26&amp;number=&amp;sourceID=13","")</f>
        <v/>
      </c>
      <c r="AA211" s="4" t="str">
        <f>HYPERLINK("http://141.218.60.56/~jnz1568/getInfo.php?workbook=11_01.xlsx&amp;sheet=A0&amp;row=211&amp;col=27&amp;number=&amp;sourceID=13","")</f>
        <v/>
      </c>
      <c r="AB211" s="4" t="str">
        <f>HYPERLINK("http://141.218.60.56/~jnz1568/getInfo.php?workbook=11_01.xlsx&amp;sheet=A0&amp;row=211&amp;col=28&amp;number=&amp;sourceID=13","")</f>
        <v/>
      </c>
      <c r="AC211" s="4" t="str">
        <f>HYPERLINK("http://141.218.60.56/~jnz1568/getInfo.php?workbook=11_01.xlsx&amp;sheet=A0&amp;row=211&amp;col=29&amp;number=&amp;sourceID=13","")</f>
        <v/>
      </c>
      <c r="AD211" s="4" t="str">
        <f>HYPERLINK("http://141.218.60.56/~jnz1568/getInfo.php?workbook=11_01.xlsx&amp;sheet=A0&amp;row=211&amp;col=30&amp;number=&amp;sourceID=13","")</f>
        <v/>
      </c>
      <c r="AE211" s="4" t="str">
        <f>HYPERLINK("http://141.218.60.56/~jnz1568/getInfo.php?workbook=11_01.xlsx&amp;sheet=A0&amp;row=211&amp;col=31&amp;number=&amp;sourceID=13","")</f>
        <v/>
      </c>
    </row>
    <row r="212" spans="1:31">
      <c r="A212" s="3">
        <v>11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HYPERLINK("http://141.218.60.56/~jnz1568/getInfo.php?workbook=11_01.xlsx&amp;sheet=A0&amp;row=212&amp;col=6&amp;number=&amp;sourceID=18","")</f>
        <v/>
      </c>
      <c r="G212" s="4" t="str">
        <f>HYPERLINK("http://141.218.60.56/~jnz1568/getInfo.php?workbook=11_01.xlsx&amp;sheet=A0&amp;row=212&amp;col=7&amp;number==&amp;sourceID=11","=")</f>
        <v>=</v>
      </c>
      <c r="H212" s="4" t="str">
        <f>HYPERLINK("http://141.218.60.56/~jnz1568/getInfo.php?workbook=11_01.xlsx&amp;sheet=A0&amp;row=212&amp;col=8&amp;number=&amp;sourceID=11","")</f>
        <v/>
      </c>
      <c r="I212" s="4" t="str">
        <f>HYPERLINK("http://141.218.60.56/~jnz1568/getInfo.php?workbook=11_01.xlsx&amp;sheet=A0&amp;row=212&amp;col=9&amp;number=203430&amp;sourceID=11","203430")</f>
        <v>203430</v>
      </c>
      <c r="J212" s="4" t="str">
        <f>HYPERLINK("http://141.218.60.56/~jnz1568/getInfo.php?workbook=11_01.xlsx&amp;sheet=A0&amp;row=212&amp;col=10&amp;number=&amp;sourceID=11","")</f>
        <v/>
      </c>
      <c r="K212" s="4" t="str">
        <f>HYPERLINK("http://141.218.60.56/~jnz1568/getInfo.php?workbook=11_01.xlsx&amp;sheet=A0&amp;row=212&amp;col=11&amp;number=0.22288&amp;sourceID=11","0.22288")</f>
        <v>0.22288</v>
      </c>
      <c r="L212" s="4" t="str">
        <f>HYPERLINK("http://141.218.60.56/~jnz1568/getInfo.php?workbook=11_01.xlsx&amp;sheet=A0&amp;row=212&amp;col=12&amp;number=&amp;sourceID=11","")</f>
        <v/>
      </c>
      <c r="M212" s="4" t="str">
        <f>HYPERLINK("http://141.218.60.56/~jnz1568/getInfo.php?workbook=11_01.xlsx&amp;sheet=A0&amp;row=212&amp;col=13&amp;number=0.00013576&amp;sourceID=11","0.00013576")</f>
        <v>0.00013576</v>
      </c>
      <c r="N212" s="4" t="str">
        <f>HYPERLINK("http://141.218.60.56/~jnz1568/getInfo.php?workbook=11_01.xlsx&amp;sheet=A0&amp;row=212&amp;col=14&amp;number=203440&amp;sourceID=12","203440")</f>
        <v>203440</v>
      </c>
      <c r="O212" s="4" t="str">
        <f>HYPERLINK("http://141.218.60.56/~jnz1568/getInfo.php?workbook=11_01.xlsx&amp;sheet=A0&amp;row=212&amp;col=15&amp;number=&amp;sourceID=12","")</f>
        <v/>
      </c>
      <c r="P212" s="4" t="str">
        <f>HYPERLINK("http://141.218.60.56/~jnz1568/getInfo.php?workbook=11_01.xlsx&amp;sheet=A0&amp;row=212&amp;col=16&amp;number=203440&amp;sourceID=12","203440")</f>
        <v>203440</v>
      </c>
      <c r="Q212" s="4" t="str">
        <f>HYPERLINK("http://141.218.60.56/~jnz1568/getInfo.php?workbook=11_01.xlsx&amp;sheet=A0&amp;row=212&amp;col=17&amp;number=&amp;sourceID=12","")</f>
        <v/>
      </c>
      <c r="R212" s="4" t="str">
        <f>HYPERLINK("http://141.218.60.56/~jnz1568/getInfo.php?workbook=11_01.xlsx&amp;sheet=A0&amp;row=212&amp;col=18&amp;number=0.22289&amp;sourceID=12","0.22289")</f>
        <v>0.22289</v>
      </c>
      <c r="S212" s="4" t="str">
        <f>HYPERLINK("http://141.218.60.56/~jnz1568/getInfo.php?workbook=11_01.xlsx&amp;sheet=A0&amp;row=212&amp;col=19&amp;number=&amp;sourceID=12","")</f>
        <v/>
      </c>
      <c r="T212" s="4" t="str">
        <f>HYPERLINK("http://141.218.60.56/~jnz1568/getInfo.php?workbook=11_01.xlsx&amp;sheet=A0&amp;row=212&amp;col=20&amp;number=0.00013576&amp;sourceID=12","0.00013576")</f>
        <v>0.00013576</v>
      </c>
      <c r="U212" s="4" t="str">
        <f>HYPERLINK("http://141.218.60.56/~jnz1568/getInfo.php?workbook=11_01.xlsx&amp;sheet=A0&amp;row=212&amp;col=21&amp;number=203400.2229&amp;sourceID=30","203400.2229")</f>
        <v>203400.2229</v>
      </c>
      <c r="V212" s="4" t="str">
        <f>HYPERLINK("http://141.218.60.56/~jnz1568/getInfo.php?workbook=11_01.xlsx&amp;sheet=A0&amp;row=212&amp;col=22&amp;number=&amp;sourceID=30","")</f>
        <v/>
      </c>
      <c r="W212" s="4" t="str">
        <f>HYPERLINK("http://141.218.60.56/~jnz1568/getInfo.php?workbook=11_01.xlsx&amp;sheet=A0&amp;row=212&amp;col=23&amp;number=203400&amp;sourceID=30","203400")</f>
        <v>203400</v>
      </c>
      <c r="X212" s="4" t="str">
        <f>HYPERLINK("http://141.218.60.56/~jnz1568/getInfo.php?workbook=11_01.xlsx&amp;sheet=A0&amp;row=212&amp;col=24&amp;number=0.2229&amp;sourceID=30","0.2229")</f>
        <v>0.2229</v>
      </c>
      <c r="Y212" s="4" t="str">
        <f>HYPERLINK("http://141.218.60.56/~jnz1568/getInfo.php?workbook=11_01.xlsx&amp;sheet=A0&amp;row=212&amp;col=25&amp;number=&amp;sourceID=30","")</f>
        <v/>
      </c>
      <c r="Z212" s="4" t="str">
        <f>HYPERLINK("http://141.218.60.56/~jnz1568/getInfo.php?workbook=11_01.xlsx&amp;sheet=A0&amp;row=212&amp;col=26&amp;number=&amp;sourceID=13","")</f>
        <v/>
      </c>
      <c r="AA212" s="4" t="str">
        <f>HYPERLINK("http://141.218.60.56/~jnz1568/getInfo.php?workbook=11_01.xlsx&amp;sheet=A0&amp;row=212&amp;col=27&amp;number=&amp;sourceID=13","")</f>
        <v/>
      </c>
      <c r="AB212" s="4" t="str">
        <f>HYPERLINK("http://141.218.60.56/~jnz1568/getInfo.php?workbook=11_01.xlsx&amp;sheet=A0&amp;row=212&amp;col=28&amp;number=&amp;sourceID=13","")</f>
        <v/>
      </c>
      <c r="AC212" s="4" t="str">
        <f>HYPERLINK("http://141.218.60.56/~jnz1568/getInfo.php?workbook=11_01.xlsx&amp;sheet=A0&amp;row=212&amp;col=29&amp;number=&amp;sourceID=13","")</f>
        <v/>
      </c>
      <c r="AD212" s="4" t="str">
        <f>HYPERLINK("http://141.218.60.56/~jnz1568/getInfo.php?workbook=11_01.xlsx&amp;sheet=A0&amp;row=212&amp;col=30&amp;number=&amp;sourceID=13","")</f>
        <v/>
      </c>
      <c r="AE212" s="4" t="str">
        <f>HYPERLINK("http://141.218.60.56/~jnz1568/getInfo.php?workbook=11_01.xlsx&amp;sheet=A0&amp;row=212&amp;col=31&amp;number=&amp;sourceID=13","")</f>
        <v/>
      </c>
    </row>
    <row r="213" spans="1:31">
      <c r="A213" s="3">
        <v>11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HYPERLINK("http://141.218.60.56/~jnz1568/getInfo.php?workbook=11_01.xlsx&amp;sheet=A0&amp;row=213&amp;col=6&amp;number=&amp;sourceID=18","")</f>
        <v/>
      </c>
      <c r="G213" s="4" t="str">
        <f>HYPERLINK("http://141.218.60.56/~jnz1568/getInfo.php?workbook=11_01.xlsx&amp;sheet=A0&amp;row=213&amp;col=7&amp;number==&amp;sourceID=11","=")</f>
        <v>=</v>
      </c>
      <c r="H213" s="4" t="str">
        <f>HYPERLINK("http://141.218.60.56/~jnz1568/getInfo.php?workbook=11_01.xlsx&amp;sheet=A0&amp;row=213&amp;col=8&amp;number=49698000000&amp;sourceID=11","49698000000")</f>
        <v>49698000000</v>
      </c>
      <c r="I213" s="4" t="str">
        <f>HYPERLINK("http://141.218.60.56/~jnz1568/getInfo.php?workbook=11_01.xlsx&amp;sheet=A0&amp;row=213&amp;col=9&amp;number=&amp;sourceID=11","")</f>
        <v/>
      </c>
      <c r="J213" s="4" t="str">
        <f>HYPERLINK("http://141.218.60.56/~jnz1568/getInfo.php?workbook=11_01.xlsx&amp;sheet=A0&amp;row=213&amp;col=10&amp;number=7.2148&amp;sourceID=11","7.2148")</f>
        <v>7.2148</v>
      </c>
      <c r="K213" s="4" t="str">
        <f>HYPERLINK("http://141.218.60.56/~jnz1568/getInfo.php?workbook=11_01.xlsx&amp;sheet=A0&amp;row=213&amp;col=11&amp;number=&amp;sourceID=11","")</f>
        <v/>
      </c>
      <c r="L213" s="4" t="str">
        <f>HYPERLINK("http://141.218.60.56/~jnz1568/getInfo.php?workbook=11_01.xlsx&amp;sheet=A0&amp;row=213&amp;col=12&amp;number=634.71&amp;sourceID=11","634.71")</f>
        <v>634.71</v>
      </c>
      <c r="M213" s="4" t="str">
        <f>HYPERLINK("http://141.218.60.56/~jnz1568/getInfo.php?workbook=11_01.xlsx&amp;sheet=A0&amp;row=213&amp;col=13&amp;number=&amp;sourceID=11","")</f>
        <v/>
      </c>
      <c r="N213" s="4" t="str">
        <f>HYPERLINK("http://141.218.60.56/~jnz1568/getInfo.php?workbook=11_01.xlsx&amp;sheet=A0&amp;row=213&amp;col=14&amp;number=49699000000&amp;sourceID=12","49699000000")</f>
        <v>49699000000</v>
      </c>
      <c r="O213" s="4" t="str">
        <f>HYPERLINK("http://141.218.60.56/~jnz1568/getInfo.php?workbook=11_01.xlsx&amp;sheet=A0&amp;row=213&amp;col=15&amp;number=49699000000&amp;sourceID=12","49699000000")</f>
        <v>49699000000</v>
      </c>
      <c r="P213" s="4" t="str">
        <f>HYPERLINK("http://141.218.60.56/~jnz1568/getInfo.php?workbook=11_01.xlsx&amp;sheet=A0&amp;row=213&amp;col=16&amp;number=&amp;sourceID=12","")</f>
        <v/>
      </c>
      <c r="Q213" s="4" t="str">
        <f>HYPERLINK("http://141.218.60.56/~jnz1568/getInfo.php?workbook=11_01.xlsx&amp;sheet=A0&amp;row=213&amp;col=17&amp;number=7.2149&amp;sourceID=12","7.2149")</f>
        <v>7.2149</v>
      </c>
      <c r="R213" s="4" t="str">
        <f>HYPERLINK("http://141.218.60.56/~jnz1568/getInfo.php?workbook=11_01.xlsx&amp;sheet=A0&amp;row=213&amp;col=18&amp;number=&amp;sourceID=12","")</f>
        <v/>
      </c>
      <c r="S213" s="4" t="str">
        <f>HYPERLINK("http://141.218.60.56/~jnz1568/getInfo.php?workbook=11_01.xlsx&amp;sheet=A0&amp;row=213&amp;col=19&amp;number=634.73&amp;sourceID=12","634.73")</f>
        <v>634.73</v>
      </c>
      <c r="T213" s="4" t="str">
        <f>HYPERLINK("http://141.218.60.56/~jnz1568/getInfo.php?workbook=11_01.xlsx&amp;sheet=A0&amp;row=213&amp;col=20&amp;number=&amp;sourceID=12","")</f>
        <v/>
      </c>
      <c r="U213" s="4" t="str">
        <f>HYPERLINK("http://141.218.60.56/~jnz1568/getInfo.php?workbook=11_01.xlsx&amp;sheet=A0&amp;row=213&amp;col=21&amp;number=49700000634.7&amp;sourceID=30","49700000634.7")</f>
        <v>49700000634.7</v>
      </c>
      <c r="V213" s="4" t="str">
        <f>HYPERLINK("http://141.218.60.56/~jnz1568/getInfo.php?workbook=11_01.xlsx&amp;sheet=A0&amp;row=213&amp;col=22&amp;number=49700000000&amp;sourceID=30","49700000000")</f>
        <v>49700000000</v>
      </c>
      <c r="W213" s="4" t="str">
        <f>HYPERLINK("http://141.218.60.56/~jnz1568/getInfo.php?workbook=11_01.xlsx&amp;sheet=A0&amp;row=213&amp;col=23&amp;number=&amp;sourceID=30","")</f>
        <v/>
      </c>
      <c r="X213" s="4" t="str">
        <f>HYPERLINK("http://141.218.60.56/~jnz1568/getInfo.php?workbook=11_01.xlsx&amp;sheet=A0&amp;row=213&amp;col=24&amp;number=&amp;sourceID=30","")</f>
        <v/>
      </c>
      <c r="Y213" s="4" t="str">
        <f>HYPERLINK("http://141.218.60.56/~jnz1568/getInfo.php?workbook=11_01.xlsx&amp;sheet=A0&amp;row=213&amp;col=25&amp;number=634.7&amp;sourceID=30","634.7")</f>
        <v>634.7</v>
      </c>
      <c r="Z213" s="4" t="str">
        <f>HYPERLINK("http://141.218.60.56/~jnz1568/getInfo.php?workbook=11_01.xlsx&amp;sheet=A0&amp;row=213&amp;col=26&amp;number=&amp;sourceID=13","")</f>
        <v/>
      </c>
      <c r="AA213" s="4" t="str">
        <f>HYPERLINK("http://141.218.60.56/~jnz1568/getInfo.php?workbook=11_01.xlsx&amp;sheet=A0&amp;row=213&amp;col=27&amp;number=&amp;sourceID=13","")</f>
        <v/>
      </c>
      <c r="AB213" s="4" t="str">
        <f>HYPERLINK("http://141.218.60.56/~jnz1568/getInfo.php?workbook=11_01.xlsx&amp;sheet=A0&amp;row=213&amp;col=28&amp;number=&amp;sourceID=13","")</f>
        <v/>
      </c>
      <c r="AC213" s="4" t="str">
        <f>HYPERLINK("http://141.218.60.56/~jnz1568/getInfo.php?workbook=11_01.xlsx&amp;sheet=A0&amp;row=213&amp;col=29&amp;number=&amp;sourceID=13","")</f>
        <v/>
      </c>
      <c r="AD213" s="4" t="str">
        <f>HYPERLINK("http://141.218.60.56/~jnz1568/getInfo.php?workbook=11_01.xlsx&amp;sheet=A0&amp;row=213&amp;col=30&amp;number=&amp;sourceID=13","")</f>
        <v/>
      </c>
      <c r="AE213" s="4" t="str">
        <f>HYPERLINK("http://141.218.60.56/~jnz1568/getInfo.php?workbook=11_01.xlsx&amp;sheet=A0&amp;row=213&amp;col=31&amp;number=&amp;sourceID=13","")</f>
        <v/>
      </c>
    </row>
    <row r="214" spans="1:31">
      <c r="A214" s="3">
        <v>11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HYPERLINK("http://141.218.60.56/~jnz1568/getInfo.php?workbook=11_01.xlsx&amp;sheet=A0&amp;row=214&amp;col=6&amp;number=&amp;sourceID=18","")</f>
        <v/>
      </c>
      <c r="G214" s="4" t="str">
        <f>HYPERLINK("http://141.218.60.56/~jnz1568/getInfo.php?workbook=11_01.xlsx&amp;sheet=A0&amp;row=214&amp;col=7&amp;number==&amp;sourceID=11","=")</f>
        <v>=</v>
      </c>
      <c r="H214" s="4" t="str">
        <f>HYPERLINK("http://141.218.60.56/~jnz1568/getInfo.php?workbook=11_01.xlsx&amp;sheet=A0&amp;row=214&amp;col=8&amp;number=&amp;sourceID=11","")</f>
        <v/>
      </c>
      <c r="I214" s="4" t="str">
        <f>HYPERLINK("http://141.218.60.56/~jnz1568/getInfo.php?workbook=11_01.xlsx&amp;sheet=A0&amp;row=214&amp;col=9&amp;number=812220&amp;sourceID=11","812220")</f>
        <v>812220</v>
      </c>
      <c r="J214" s="4" t="str">
        <f>HYPERLINK("http://141.218.60.56/~jnz1568/getInfo.php?workbook=11_01.xlsx&amp;sheet=A0&amp;row=214&amp;col=10&amp;number=&amp;sourceID=11","")</f>
        <v/>
      </c>
      <c r="K214" s="4" t="str">
        <f>HYPERLINK("http://141.218.60.56/~jnz1568/getInfo.php?workbook=11_01.xlsx&amp;sheet=A0&amp;row=214&amp;col=11&amp;number=1.6231&amp;sourceID=11","1.6231")</f>
        <v>1.6231</v>
      </c>
      <c r="L214" s="4" t="str">
        <f>HYPERLINK("http://141.218.60.56/~jnz1568/getInfo.php?workbook=11_01.xlsx&amp;sheet=A0&amp;row=214&amp;col=12&amp;number=&amp;sourceID=11","")</f>
        <v/>
      </c>
      <c r="M214" s="4" t="str">
        <f>HYPERLINK("http://141.218.60.56/~jnz1568/getInfo.php?workbook=11_01.xlsx&amp;sheet=A0&amp;row=214&amp;col=13&amp;number=0.016446&amp;sourceID=11","0.016446")</f>
        <v>0.016446</v>
      </c>
      <c r="N214" s="4" t="str">
        <f>HYPERLINK("http://141.218.60.56/~jnz1568/getInfo.php?workbook=11_01.xlsx&amp;sheet=A0&amp;row=214&amp;col=14&amp;number=812240&amp;sourceID=12","812240")</f>
        <v>812240</v>
      </c>
      <c r="O214" s="4" t="str">
        <f>HYPERLINK("http://141.218.60.56/~jnz1568/getInfo.php?workbook=11_01.xlsx&amp;sheet=A0&amp;row=214&amp;col=15&amp;number=&amp;sourceID=12","")</f>
        <v/>
      </c>
      <c r="P214" s="4" t="str">
        <f>HYPERLINK("http://141.218.60.56/~jnz1568/getInfo.php?workbook=11_01.xlsx&amp;sheet=A0&amp;row=214&amp;col=16&amp;number=812240&amp;sourceID=12","812240")</f>
        <v>812240</v>
      </c>
      <c r="Q214" s="4" t="str">
        <f>HYPERLINK("http://141.218.60.56/~jnz1568/getInfo.php?workbook=11_01.xlsx&amp;sheet=A0&amp;row=214&amp;col=17&amp;number=&amp;sourceID=12","")</f>
        <v/>
      </c>
      <c r="R214" s="4" t="str">
        <f>HYPERLINK("http://141.218.60.56/~jnz1568/getInfo.php?workbook=11_01.xlsx&amp;sheet=A0&amp;row=214&amp;col=18&amp;number=1.6231&amp;sourceID=12","1.6231")</f>
        <v>1.6231</v>
      </c>
      <c r="S214" s="4" t="str">
        <f>HYPERLINK("http://141.218.60.56/~jnz1568/getInfo.php?workbook=11_01.xlsx&amp;sheet=A0&amp;row=214&amp;col=19&amp;number=&amp;sourceID=12","")</f>
        <v/>
      </c>
      <c r="T214" s="4" t="str">
        <f>HYPERLINK("http://141.218.60.56/~jnz1568/getInfo.php?workbook=11_01.xlsx&amp;sheet=A0&amp;row=214&amp;col=20&amp;number=0.016446&amp;sourceID=12","0.016446")</f>
        <v>0.016446</v>
      </c>
      <c r="U214" s="4" t="str">
        <f>HYPERLINK("http://141.218.60.56/~jnz1568/getInfo.php?workbook=11_01.xlsx&amp;sheet=A0&amp;row=214&amp;col=21&amp;number=812201.623&amp;sourceID=30","812201.623")</f>
        <v>812201.623</v>
      </c>
      <c r="V214" s="4" t="str">
        <f>HYPERLINK("http://141.218.60.56/~jnz1568/getInfo.php?workbook=11_01.xlsx&amp;sheet=A0&amp;row=214&amp;col=22&amp;number=&amp;sourceID=30","")</f>
        <v/>
      </c>
      <c r="W214" s="4" t="str">
        <f>HYPERLINK("http://141.218.60.56/~jnz1568/getInfo.php?workbook=11_01.xlsx&amp;sheet=A0&amp;row=214&amp;col=23&amp;number=812200&amp;sourceID=30","812200")</f>
        <v>812200</v>
      </c>
      <c r="X214" s="4" t="str">
        <f>HYPERLINK("http://141.218.60.56/~jnz1568/getInfo.php?workbook=11_01.xlsx&amp;sheet=A0&amp;row=214&amp;col=24&amp;number=1.623&amp;sourceID=30","1.623")</f>
        <v>1.623</v>
      </c>
      <c r="Y214" s="4" t="str">
        <f>HYPERLINK("http://141.218.60.56/~jnz1568/getInfo.php?workbook=11_01.xlsx&amp;sheet=A0&amp;row=214&amp;col=25&amp;number=&amp;sourceID=30","")</f>
        <v/>
      </c>
      <c r="Z214" s="4" t="str">
        <f>HYPERLINK("http://141.218.60.56/~jnz1568/getInfo.php?workbook=11_01.xlsx&amp;sheet=A0&amp;row=214&amp;col=26&amp;number=&amp;sourceID=13","")</f>
        <v/>
      </c>
      <c r="AA214" s="4" t="str">
        <f>HYPERLINK("http://141.218.60.56/~jnz1568/getInfo.php?workbook=11_01.xlsx&amp;sheet=A0&amp;row=214&amp;col=27&amp;number=&amp;sourceID=13","")</f>
        <v/>
      </c>
      <c r="AB214" s="4" t="str">
        <f>HYPERLINK("http://141.218.60.56/~jnz1568/getInfo.php?workbook=11_01.xlsx&amp;sheet=A0&amp;row=214&amp;col=28&amp;number=&amp;sourceID=13","")</f>
        <v/>
      </c>
      <c r="AC214" s="4" t="str">
        <f>HYPERLINK("http://141.218.60.56/~jnz1568/getInfo.php?workbook=11_01.xlsx&amp;sheet=A0&amp;row=214&amp;col=29&amp;number=&amp;sourceID=13","")</f>
        <v/>
      </c>
      <c r="AD214" s="4" t="str">
        <f>HYPERLINK("http://141.218.60.56/~jnz1568/getInfo.php?workbook=11_01.xlsx&amp;sheet=A0&amp;row=214&amp;col=30&amp;number=&amp;sourceID=13","")</f>
        <v/>
      </c>
      <c r="AE214" s="4" t="str">
        <f>HYPERLINK("http://141.218.60.56/~jnz1568/getInfo.php?workbook=11_01.xlsx&amp;sheet=A0&amp;row=214&amp;col=31&amp;number=&amp;sourceID=13","")</f>
        <v/>
      </c>
    </row>
    <row r="215" spans="1:31">
      <c r="A215" s="3">
        <v>11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HYPERLINK("http://141.218.60.56/~jnz1568/getInfo.php?workbook=11_01.xlsx&amp;sheet=A0&amp;row=215&amp;col=6&amp;number=&amp;sourceID=18","")</f>
        <v/>
      </c>
      <c r="G215" s="4" t="str">
        <f>HYPERLINK("http://141.218.60.56/~jnz1568/getInfo.php?workbook=11_01.xlsx&amp;sheet=A0&amp;row=215&amp;col=7&amp;number==&amp;sourceID=11","=")</f>
        <v>=</v>
      </c>
      <c r="H215" s="4" t="str">
        <f>HYPERLINK("http://141.218.60.56/~jnz1568/getInfo.php?workbook=11_01.xlsx&amp;sheet=A0&amp;row=215&amp;col=8&amp;number=&amp;sourceID=11","")</f>
        <v/>
      </c>
      <c r="I215" s="4" t="str">
        <f>HYPERLINK("http://141.218.60.56/~jnz1568/getInfo.php?workbook=11_01.xlsx&amp;sheet=A0&amp;row=215&amp;col=9&amp;number=&amp;sourceID=11","")</f>
        <v/>
      </c>
      <c r="J215" s="4" t="str">
        <f>HYPERLINK("http://141.218.60.56/~jnz1568/getInfo.php?workbook=11_01.xlsx&amp;sheet=A0&amp;row=215&amp;col=10&amp;number=15.763&amp;sourceID=11","15.763")</f>
        <v>15.763</v>
      </c>
      <c r="K215" s="4" t="str">
        <f>HYPERLINK("http://141.218.60.56/~jnz1568/getInfo.php?workbook=11_01.xlsx&amp;sheet=A0&amp;row=215&amp;col=11&amp;number=&amp;sourceID=11","")</f>
        <v/>
      </c>
      <c r="L215" s="4" t="str">
        <f>HYPERLINK("http://141.218.60.56/~jnz1568/getInfo.php?workbook=11_01.xlsx&amp;sheet=A0&amp;row=215&amp;col=12&amp;number=5.0985&amp;sourceID=11","5.0985")</f>
        <v>5.0985</v>
      </c>
      <c r="M215" s="4" t="str">
        <f>HYPERLINK("http://141.218.60.56/~jnz1568/getInfo.php?workbook=11_01.xlsx&amp;sheet=A0&amp;row=215&amp;col=13&amp;number=&amp;sourceID=11","")</f>
        <v/>
      </c>
      <c r="N215" s="4" t="str">
        <f>HYPERLINK("http://141.218.60.56/~jnz1568/getInfo.php?workbook=11_01.xlsx&amp;sheet=A0&amp;row=215&amp;col=14&amp;number=20.862&amp;sourceID=12","20.862")</f>
        <v>20.862</v>
      </c>
      <c r="O215" s="4" t="str">
        <f>HYPERLINK("http://141.218.60.56/~jnz1568/getInfo.php?workbook=11_01.xlsx&amp;sheet=A0&amp;row=215&amp;col=15&amp;number=&amp;sourceID=12","")</f>
        <v/>
      </c>
      <c r="P215" s="4" t="str">
        <f>HYPERLINK("http://141.218.60.56/~jnz1568/getInfo.php?workbook=11_01.xlsx&amp;sheet=A0&amp;row=215&amp;col=16&amp;number=&amp;sourceID=12","")</f>
        <v/>
      </c>
      <c r="Q215" s="4" t="str">
        <f>HYPERLINK("http://141.218.60.56/~jnz1568/getInfo.php?workbook=11_01.xlsx&amp;sheet=A0&amp;row=215&amp;col=17&amp;number=15.763&amp;sourceID=12","15.763")</f>
        <v>15.763</v>
      </c>
      <c r="R215" s="4" t="str">
        <f>HYPERLINK("http://141.218.60.56/~jnz1568/getInfo.php?workbook=11_01.xlsx&amp;sheet=A0&amp;row=215&amp;col=18&amp;number=&amp;sourceID=12","")</f>
        <v/>
      </c>
      <c r="S215" s="4" t="str">
        <f>HYPERLINK("http://141.218.60.56/~jnz1568/getInfo.php?workbook=11_01.xlsx&amp;sheet=A0&amp;row=215&amp;col=19&amp;number=5.0987&amp;sourceID=12","5.0987")</f>
        <v>5.0987</v>
      </c>
      <c r="T215" s="4" t="str">
        <f>HYPERLINK("http://141.218.60.56/~jnz1568/getInfo.php?workbook=11_01.xlsx&amp;sheet=A0&amp;row=215&amp;col=20&amp;number=&amp;sourceID=12","")</f>
        <v/>
      </c>
      <c r="U215" s="4" t="str">
        <f>HYPERLINK("http://141.218.60.56/~jnz1568/getInfo.php?workbook=11_01.xlsx&amp;sheet=A0&amp;row=215&amp;col=21&amp;number=5.099&amp;sourceID=30","5.099")</f>
        <v>5.099</v>
      </c>
      <c r="V215" s="4" t="str">
        <f>HYPERLINK("http://141.218.60.56/~jnz1568/getInfo.php?workbook=11_01.xlsx&amp;sheet=A0&amp;row=215&amp;col=22&amp;number=&amp;sourceID=30","")</f>
        <v/>
      </c>
      <c r="W215" s="4" t="str">
        <f>HYPERLINK("http://141.218.60.56/~jnz1568/getInfo.php?workbook=11_01.xlsx&amp;sheet=A0&amp;row=215&amp;col=23&amp;number=&amp;sourceID=30","")</f>
        <v/>
      </c>
      <c r="X215" s="4" t="str">
        <f>HYPERLINK("http://141.218.60.56/~jnz1568/getInfo.php?workbook=11_01.xlsx&amp;sheet=A0&amp;row=215&amp;col=24&amp;number=&amp;sourceID=30","")</f>
        <v/>
      </c>
      <c r="Y215" s="4" t="str">
        <f>HYPERLINK("http://141.218.60.56/~jnz1568/getInfo.php?workbook=11_01.xlsx&amp;sheet=A0&amp;row=215&amp;col=25&amp;number=5.099&amp;sourceID=30","5.099")</f>
        <v>5.099</v>
      </c>
      <c r="Z215" s="4" t="str">
        <f>HYPERLINK("http://141.218.60.56/~jnz1568/getInfo.php?workbook=11_01.xlsx&amp;sheet=A0&amp;row=215&amp;col=26&amp;number=&amp;sourceID=13","")</f>
        <v/>
      </c>
      <c r="AA215" s="4" t="str">
        <f>HYPERLINK("http://141.218.60.56/~jnz1568/getInfo.php?workbook=11_01.xlsx&amp;sheet=A0&amp;row=215&amp;col=27&amp;number=&amp;sourceID=13","")</f>
        <v/>
      </c>
      <c r="AB215" s="4" t="str">
        <f>HYPERLINK("http://141.218.60.56/~jnz1568/getInfo.php?workbook=11_01.xlsx&amp;sheet=A0&amp;row=215&amp;col=28&amp;number=&amp;sourceID=13","")</f>
        <v/>
      </c>
      <c r="AC215" s="4" t="str">
        <f>HYPERLINK("http://141.218.60.56/~jnz1568/getInfo.php?workbook=11_01.xlsx&amp;sheet=A0&amp;row=215&amp;col=29&amp;number=&amp;sourceID=13","")</f>
        <v/>
      </c>
      <c r="AD215" s="4" t="str">
        <f>HYPERLINK("http://141.218.60.56/~jnz1568/getInfo.php?workbook=11_01.xlsx&amp;sheet=A0&amp;row=215&amp;col=30&amp;number=&amp;sourceID=13","")</f>
        <v/>
      </c>
      <c r="AE215" s="4" t="str">
        <f>HYPERLINK("http://141.218.60.56/~jnz1568/getInfo.php?workbook=11_01.xlsx&amp;sheet=A0&amp;row=215&amp;col=31&amp;number=&amp;sourceID=13","")</f>
        <v/>
      </c>
    </row>
    <row r="216" spans="1:31">
      <c r="A216" s="3">
        <v>11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HYPERLINK("http://141.218.60.56/~jnz1568/getInfo.php?workbook=11_01.xlsx&amp;sheet=A0&amp;row=216&amp;col=6&amp;number=&amp;sourceID=18","")</f>
        <v/>
      </c>
      <c r="G216" s="4" t="str">
        <f>HYPERLINK("http://141.218.60.56/~jnz1568/getInfo.php?workbook=11_01.xlsx&amp;sheet=A0&amp;row=216&amp;col=7&amp;number==&amp;sourceID=11","=")</f>
        <v>=</v>
      </c>
      <c r="H216" s="4" t="str">
        <f>HYPERLINK("http://141.218.60.56/~jnz1568/getInfo.php?workbook=11_01.xlsx&amp;sheet=A0&amp;row=216&amp;col=8&amp;number=&amp;sourceID=11","")</f>
        <v/>
      </c>
      <c r="I216" s="4" t="str">
        <f>HYPERLINK("http://141.218.60.56/~jnz1568/getInfo.php?workbook=11_01.xlsx&amp;sheet=A0&amp;row=216&amp;col=9&amp;number=961330&amp;sourceID=11","961330")</f>
        <v>961330</v>
      </c>
      <c r="J216" s="4" t="str">
        <f>HYPERLINK("http://141.218.60.56/~jnz1568/getInfo.php?workbook=11_01.xlsx&amp;sheet=A0&amp;row=216&amp;col=10&amp;number=&amp;sourceID=11","")</f>
        <v/>
      </c>
      <c r="K216" s="4" t="str">
        <f>HYPERLINK("http://141.218.60.56/~jnz1568/getInfo.php?workbook=11_01.xlsx&amp;sheet=A0&amp;row=216&amp;col=11&amp;number=&amp;sourceID=11","")</f>
        <v/>
      </c>
      <c r="L216" s="4" t="str">
        <f>HYPERLINK("http://141.218.60.56/~jnz1568/getInfo.php?workbook=11_01.xlsx&amp;sheet=A0&amp;row=216&amp;col=12&amp;number=&amp;sourceID=11","")</f>
        <v/>
      </c>
      <c r="M216" s="4" t="str">
        <f>HYPERLINK("http://141.218.60.56/~jnz1568/getInfo.php?workbook=11_01.xlsx&amp;sheet=A0&amp;row=216&amp;col=13&amp;number=0.0011298&amp;sourceID=11","0.0011298")</f>
        <v>0.0011298</v>
      </c>
      <c r="N216" s="4" t="str">
        <f>HYPERLINK("http://141.218.60.56/~jnz1568/getInfo.php?workbook=11_01.xlsx&amp;sheet=A0&amp;row=216&amp;col=14&amp;number=961360&amp;sourceID=12","961360")</f>
        <v>961360</v>
      </c>
      <c r="O216" s="4" t="str">
        <f>HYPERLINK("http://141.218.60.56/~jnz1568/getInfo.php?workbook=11_01.xlsx&amp;sheet=A0&amp;row=216&amp;col=15&amp;number=&amp;sourceID=12","")</f>
        <v/>
      </c>
      <c r="P216" s="4" t="str">
        <f>HYPERLINK("http://141.218.60.56/~jnz1568/getInfo.php?workbook=11_01.xlsx&amp;sheet=A0&amp;row=216&amp;col=16&amp;number=961360&amp;sourceID=12","961360")</f>
        <v>961360</v>
      </c>
      <c r="Q216" s="4" t="str">
        <f>HYPERLINK("http://141.218.60.56/~jnz1568/getInfo.php?workbook=11_01.xlsx&amp;sheet=A0&amp;row=216&amp;col=17&amp;number=&amp;sourceID=12","")</f>
        <v/>
      </c>
      <c r="R216" s="4" t="str">
        <f>HYPERLINK("http://141.218.60.56/~jnz1568/getInfo.php?workbook=11_01.xlsx&amp;sheet=A0&amp;row=216&amp;col=18&amp;number=&amp;sourceID=12","")</f>
        <v/>
      </c>
      <c r="S216" s="4" t="str">
        <f>HYPERLINK("http://141.218.60.56/~jnz1568/getInfo.php?workbook=11_01.xlsx&amp;sheet=A0&amp;row=216&amp;col=19&amp;number=&amp;sourceID=12","")</f>
        <v/>
      </c>
      <c r="T216" s="4" t="str">
        <f>HYPERLINK("http://141.218.60.56/~jnz1568/getInfo.php?workbook=11_01.xlsx&amp;sheet=A0&amp;row=216&amp;col=20&amp;number=0.0011298&amp;sourceID=12","0.0011298")</f>
        <v>0.0011298</v>
      </c>
      <c r="U216" s="4" t="str">
        <f>HYPERLINK("http://141.218.60.56/~jnz1568/getInfo.php?workbook=11_01.xlsx&amp;sheet=A0&amp;row=216&amp;col=21&amp;number=961400&amp;sourceID=30","961400")</f>
        <v>961400</v>
      </c>
      <c r="V216" s="4" t="str">
        <f>HYPERLINK("http://141.218.60.56/~jnz1568/getInfo.php?workbook=11_01.xlsx&amp;sheet=A0&amp;row=216&amp;col=22&amp;number=&amp;sourceID=30","")</f>
        <v/>
      </c>
      <c r="W216" s="4" t="str">
        <f>HYPERLINK("http://141.218.60.56/~jnz1568/getInfo.php?workbook=11_01.xlsx&amp;sheet=A0&amp;row=216&amp;col=23&amp;number=961400&amp;sourceID=30","961400")</f>
        <v>961400</v>
      </c>
      <c r="X216" s="4" t="str">
        <f>HYPERLINK("http://141.218.60.56/~jnz1568/getInfo.php?workbook=11_01.xlsx&amp;sheet=A0&amp;row=216&amp;col=24&amp;number=&amp;sourceID=30","")</f>
        <v/>
      </c>
      <c r="Y216" s="4" t="str">
        <f>HYPERLINK("http://141.218.60.56/~jnz1568/getInfo.php?workbook=11_01.xlsx&amp;sheet=A0&amp;row=216&amp;col=25&amp;number=&amp;sourceID=30","")</f>
        <v/>
      </c>
      <c r="Z216" s="4" t="str">
        <f>HYPERLINK("http://141.218.60.56/~jnz1568/getInfo.php?workbook=11_01.xlsx&amp;sheet=A0&amp;row=216&amp;col=26&amp;number=&amp;sourceID=13","")</f>
        <v/>
      </c>
      <c r="AA216" s="4" t="str">
        <f>HYPERLINK("http://141.218.60.56/~jnz1568/getInfo.php?workbook=11_01.xlsx&amp;sheet=A0&amp;row=216&amp;col=27&amp;number=&amp;sourceID=13","")</f>
        <v/>
      </c>
      <c r="AB216" s="4" t="str">
        <f>HYPERLINK("http://141.218.60.56/~jnz1568/getInfo.php?workbook=11_01.xlsx&amp;sheet=A0&amp;row=216&amp;col=28&amp;number=&amp;sourceID=13","")</f>
        <v/>
      </c>
      <c r="AC216" s="4" t="str">
        <f>HYPERLINK("http://141.218.60.56/~jnz1568/getInfo.php?workbook=11_01.xlsx&amp;sheet=A0&amp;row=216&amp;col=29&amp;number=&amp;sourceID=13","")</f>
        <v/>
      </c>
      <c r="AD216" s="4" t="str">
        <f>HYPERLINK("http://141.218.60.56/~jnz1568/getInfo.php?workbook=11_01.xlsx&amp;sheet=A0&amp;row=216&amp;col=30&amp;number=&amp;sourceID=13","")</f>
        <v/>
      </c>
      <c r="AE216" s="4" t="str">
        <f>HYPERLINK("http://141.218.60.56/~jnz1568/getInfo.php?workbook=11_01.xlsx&amp;sheet=A0&amp;row=216&amp;col=31&amp;number=&amp;sourceID=13","")</f>
        <v/>
      </c>
    </row>
    <row r="217" spans="1:31">
      <c r="A217" s="3">
        <v>11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HYPERLINK("http://141.218.60.56/~jnz1568/getInfo.php?workbook=11_01.xlsx&amp;sheet=A0&amp;row=217&amp;col=6&amp;number=&amp;sourceID=18","")</f>
        <v/>
      </c>
      <c r="G217" s="4" t="str">
        <f>HYPERLINK("http://141.218.60.56/~jnz1568/getInfo.php?workbook=11_01.xlsx&amp;sheet=A0&amp;row=217&amp;col=7&amp;number==&amp;sourceID=11","=")</f>
        <v>=</v>
      </c>
      <c r="H217" s="4" t="str">
        <f>HYPERLINK("http://141.218.60.56/~jnz1568/getInfo.php?workbook=11_01.xlsx&amp;sheet=A0&amp;row=217&amp;col=8&amp;number=&amp;sourceID=11","")</f>
        <v/>
      </c>
      <c r="I217" s="4" t="str">
        <f>HYPERLINK("http://141.218.60.56/~jnz1568/getInfo.php?workbook=11_01.xlsx&amp;sheet=A0&amp;row=217&amp;col=9&amp;number=94244&amp;sourceID=11","94244")</f>
        <v>94244</v>
      </c>
      <c r="J217" s="4" t="str">
        <f>HYPERLINK("http://141.218.60.56/~jnz1568/getInfo.php?workbook=11_01.xlsx&amp;sheet=A0&amp;row=217&amp;col=10&amp;number=&amp;sourceID=11","")</f>
        <v/>
      </c>
      <c r="K217" s="4" t="str">
        <f>HYPERLINK("http://141.218.60.56/~jnz1568/getInfo.php?workbook=11_01.xlsx&amp;sheet=A0&amp;row=217&amp;col=11&amp;number=0.05454&amp;sourceID=11","0.05454")</f>
        <v>0.05454</v>
      </c>
      <c r="L217" s="4" t="str">
        <f>HYPERLINK("http://141.218.60.56/~jnz1568/getInfo.php?workbook=11_01.xlsx&amp;sheet=A0&amp;row=217&amp;col=12&amp;number=&amp;sourceID=11","")</f>
        <v/>
      </c>
      <c r="M217" s="4" t="str">
        <f>HYPERLINK("http://141.218.60.56/~jnz1568/getInfo.php?workbook=11_01.xlsx&amp;sheet=A0&amp;row=217&amp;col=13&amp;number=6.301e-06&amp;sourceID=11","6.301e-06")</f>
        <v>6.301e-06</v>
      </c>
      <c r="N217" s="4" t="str">
        <f>HYPERLINK("http://141.218.60.56/~jnz1568/getInfo.php?workbook=11_01.xlsx&amp;sheet=A0&amp;row=217&amp;col=14&amp;number=94246&amp;sourceID=12","94246")</f>
        <v>94246</v>
      </c>
      <c r="O217" s="4" t="str">
        <f>HYPERLINK("http://141.218.60.56/~jnz1568/getInfo.php?workbook=11_01.xlsx&amp;sheet=A0&amp;row=217&amp;col=15&amp;number=&amp;sourceID=12","")</f>
        <v/>
      </c>
      <c r="P217" s="4" t="str">
        <f>HYPERLINK("http://141.218.60.56/~jnz1568/getInfo.php?workbook=11_01.xlsx&amp;sheet=A0&amp;row=217&amp;col=16&amp;number=94246&amp;sourceID=12","94246")</f>
        <v>94246</v>
      </c>
      <c r="Q217" s="4" t="str">
        <f>HYPERLINK("http://141.218.60.56/~jnz1568/getInfo.php?workbook=11_01.xlsx&amp;sheet=A0&amp;row=217&amp;col=17&amp;number=&amp;sourceID=12","")</f>
        <v/>
      </c>
      <c r="R217" s="4" t="str">
        <f>HYPERLINK("http://141.218.60.56/~jnz1568/getInfo.php?workbook=11_01.xlsx&amp;sheet=A0&amp;row=217&amp;col=18&amp;number=0.054543&amp;sourceID=12","0.054543")</f>
        <v>0.054543</v>
      </c>
      <c r="S217" s="4" t="str">
        <f>HYPERLINK("http://141.218.60.56/~jnz1568/getInfo.php?workbook=11_01.xlsx&amp;sheet=A0&amp;row=217&amp;col=19&amp;number=&amp;sourceID=12","")</f>
        <v/>
      </c>
      <c r="T217" s="4" t="str">
        <f>HYPERLINK("http://141.218.60.56/~jnz1568/getInfo.php?workbook=11_01.xlsx&amp;sheet=A0&amp;row=217&amp;col=20&amp;number=6.3011e-06&amp;sourceID=12","6.3011e-06")</f>
        <v>6.3011e-06</v>
      </c>
      <c r="U217" s="4" t="str">
        <f>HYPERLINK("http://141.218.60.56/~jnz1568/getInfo.php?workbook=11_01.xlsx&amp;sheet=A0&amp;row=217&amp;col=21&amp;number=94250.05456&amp;sourceID=30","94250.05456")</f>
        <v>94250.05456</v>
      </c>
      <c r="V217" s="4" t="str">
        <f>HYPERLINK("http://141.218.60.56/~jnz1568/getInfo.php?workbook=11_01.xlsx&amp;sheet=A0&amp;row=217&amp;col=22&amp;number=&amp;sourceID=30","")</f>
        <v/>
      </c>
      <c r="W217" s="4" t="str">
        <f>HYPERLINK("http://141.218.60.56/~jnz1568/getInfo.php?workbook=11_01.xlsx&amp;sheet=A0&amp;row=217&amp;col=23&amp;number=94250&amp;sourceID=30","94250")</f>
        <v>94250</v>
      </c>
      <c r="X217" s="4" t="str">
        <f>HYPERLINK("http://141.218.60.56/~jnz1568/getInfo.php?workbook=11_01.xlsx&amp;sheet=A0&amp;row=217&amp;col=24&amp;number=0.05456&amp;sourceID=30","0.05456")</f>
        <v>0.05456</v>
      </c>
      <c r="Y217" s="4" t="str">
        <f>HYPERLINK("http://141.218.60.56/~jnz1568/getInfo.php?workbook=11_01.xlsx&amp;sheet=A0&amp;row=217&amp;col=25&amp;number=&amp;sourceID=30","")</f>
        <v/>
      </c>
      <c r="Z217" s="4" t="str">
        <f>HYPERLINK("http://141.218.60.56/~jnz1568/getInfo.php?workbook=11_01.xlsx&amp;sheet=A0&amp;row=217&amp;col=26&amp;number=&amp;sourceID=13","")</f>
        <v/>
      </c>
      <c r="AA217" s="4" t="str">
        <f>HYPERLINK("http://141.218.60.56/~jnz1568/getInfo.php?workbook=11_01.xlsx&amp;sheet=A0&amp;row=217&amp;col=27&amp;number=&amp;sourceID=13","")</f>
        <v/>
      </c>
      <c r="AB217" s="4" t="str">
        <f>HYPERLINK("http://141.218.60.56/~jnz1568/getInfo.php?workbook=11_01.xlsx&amp;sheet=A0&amp;row=217&amp;col=28&amp;number=&amp;sourceID=13","")</f>
        <v/>
      </c>
      <c r="AC217" s="4" t="str">
        <f>HYPERLINK("http://141.218.60.56/~jnz1568/getInfo.php?workbook=11_01.xlsx&amp;sheet=A0&amp;row=217&amp;col=29&amp;number=&amp;sourceID=13","")</f>
        <v/>
      </c>
      <c r="AD217" s="4" t="str">
        <f>HYPERLINK("http://141.218.60.56/~jnz1568/getInfo.php?workbook=11_01.xlsx&amp;sheet=A0&amp;row=217&amp;col=30&amp;number=&amp;sourceID=13","")</f>
        <v/>
      </c>
      <c r="AE217" s="4" t="str">
        <f>HYPERLINK("http://141.218.60.56/~jnz1568/getInfo.php?workbook=11_01.xlsx&amp;sheet=A0&amp;row=217&amp;col=31&amp;number=&amp;sourceID=13","")</f>
        <v/>
      </c>
    </row>
    <row r="218" spans="1:31">
      <c r="A218" s="3">
        <v>11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HYPERLINK("http://141.218.60.56/~jnz1568/getInfo.php?workbook=11_01.xlsx&amp;sheet=A0&amp;row=218&amp;col=6&amp;number=&amp;sourceID=18","")</f>
        <v/>
      </c>
      <c r="G218" s="4" t="str">
        <f>HYPERLINK("http://141.218.60.56/~jnz1568/getInfo.php?workbook=11_01.xlsx&amp;sheet=A0&amp;row=218&amp;col=7&amp;number==&amp;sourceID=11","=")</f>
        <v>=</v>
      </c>
      <c r="H218" s="4" t="str">
        <f>HYPERLINK("http://141.218.60.56/~jnz1568/getInfo.php?workbook=11_01.xlsx&amp;sheet=A0&amp;row=218&amp;col=8&amp;number=21754000000&amp;sourceID=11","21754000000")</f>
        <v>21754000000</v>
      </c>
      <c r="I218" s="4" t="str">
        <f>HYPERLINK("http://141.218.60.56/~jnz1568/getInfo.php?workbook=11_01.xlsx&amp;sheet=A0&amp;row=218&amp;col=9&amp;number=&amp;sourceID=11","")</f>
        <v/>
      </c>
      <c r="J218" s="4" t="str">
        <f>HYPERLINK("http://141.218.60.56/~jnz1568/getInfo.php?workbook=11_01.xlsx&amp;sheet=A0&amp;row=218&amp;col=10&amp;number=12.504&amp;sourceID=11","12.504")</f>
        <v>12.504</v>
      </c>
      <c r="K218" s="4" t="str">
        <f>HYPERLINK("http://141.218.60.56/~jnz1568/getInfo.php?workbook=11_01.xlsx&amp;sheet=A0&amp;row=218&amp;col=11&amp;number=&amp;sourceID=11","")</f>
        <v/>
      </c>
      <c r="L218" s="4" t="str">
        <f>HYPERLINK("http://141.218.60.56/~jnz1568/getInfo.php?workbook=11_01.xlsx&amp;sheet=A0&amp;row=218&amp;col=12&amp;number=27.838&amp;sourceID=11","27.838")</f>
        <v>27.838</v>
      </c>
      <c r="M218" s="4" t="str">
        <f>HYPERLINK("http://141.218.60.56/~jnz1568/getInfo.php?workbook=11_01.xlsx&amp;sheet=A0&amp;row=218&amp;col=13&amp;number=&amp;sourceID=11","")</f>
        <v/>
      </c>
      <c r="N218" s="4" t="str">
        <f>HYPERLINK("http://141.218.60.56/~jnz1568/getInfo.php?workbook=11_01.xlsx&amp;sheet=A0&amp;row=218&amp;col=14&amp;number=21755000000&amp;sourceID=12","21755000000")</f>
        <v>21755000000</v>
      </c>
      <c r="O218" s="4" t="str">
        <f>HYPERLINK("http://141.218.60.56/~jnz1568/getInfo.php?workbook=11_01.xlsx&amp;sheet=A0&amp;row=218&amp;col=15&amp;number=21755000000&amp;sourceID=12","21755000000")</f>
        <v>21755000000</v>
      </c>
      <c r="P218" s="4" t="str">
        <f>HYPERLINK("http://141.218.60.56/~jnz1568/getInfo.php?workbook=11_01.xlsx&amp;sheet=A0&amp;row=218&amp;col=16&amp;number=&amp;sourceID=12","")</f>
        <v/>
      </c>
      <c r="Q218" s="4" t="str">
        <f>HYPERLINK("http://141.218.60.56/~jnz1568/getInfo.php?workbook=11_01.xlsx&amp;sheet=A0&amp;row=218&amp;col=17&amp;number=12.504&amp;sourceID=12","12.504")</f>
        <v>12.504</v>
      </c>
      <c r="R218" s="4" t="str">
        <f>HYPERLINK("http://141.218.60.56/~jnz1568/getInfo.php?workbook=11_01.xlsx&amp;sheet=A0&amp;row=218&amp;col=18&amp;number=&amp;sourceID=12","")</f>
        <v/>
      </c>
      <c r="S218" s="4" t="str">
        <f>HYPERLINK("http://141.218.60.56/~jnz1568/getInfo.php?workbook=11_01.xlsx&amp;sheet=A0&amp;row=218&amp;col=19&amp;number=27.839&amp;sourceID=12","27.839")</f>
        <v>27.839</v>
      </c>
      <c r="T218" s="4" t="str">
        <f>HYPERLINK("http://141.218.60.56/~jnz1568/getInfo.php?workbook=11_01.xlsx&amp;sheet=A0&amp;row=218&amp;col=20&amp;number=&amp;sourceID=12","")</f>
        <v/>
      </c>
      <c r="U218" s="4" t="str">
        <f>HYPERLINK("http://141.218.60.56/~jnz1568/getInfo.php?workbook=11_01.xlsx&amp;sheet=A0&amp;row=218&amp;col=21&amp;number=21760000027.8&amp;sourceID=30","21760000027.8")</f>
        <v>21760000027.8</v>
      </c>
      <c r="V218" s="4" t="str">
        <f>HYPERLINK("http://141.218.60.56/~jnz1568/getInfo.php?workbook=11_01.xlsx&amp;sheet=A0&amp;row=218&amp;col=22&amp;number=21760000000&amp;sourceID=30","21760000000")</f>
        <v>21760000000</v>
      </c>
      <c r="W218" s="4" t="str">
        <f>HYPERLINK("http://141.218.60.56/~jnz1568/getInfo.php?workbook=11_01.xlsx&amp;sheet=A0&amp;row=218&amp;col=23&amp;number=&amp;sourceID=30","")</f>
        <v/>
      </c>
      <c r="X218" s="4" t="str">
        <f>HYPERLINK("http://141.218.60.56/~jnz1568/getInfo.php?workbook=11_01.xlsx&amp;sheet=A0&amp;row=218&amp;col=24&amp;number=&amp;sourceID=30","")</f>
        <v/>
      </c>
      <c r="Y218" s="4" t="str">
        <f>HYPERLINK("http://141.218.60.56/~jnz1568/getInfo.php?workbook=11_01.xlsx&amp;sheet=A0&amp;row=218&amp;col=25&amp;number=27.84&amp;sourceID=30","27.84")</f>
        <v>27.84</v>
      </c>
      <c r="Z218" s="4" t="str">
        <f>HYPERLINK("http://141.218.60.56/~jnz1568/getInfo.php?workbook=11_01.xlsx&amp;sheet=A0&amp;row=218&amp;col=26&amp;number=&amp;sourceID=13","")</f>
        <v/>
      </c>
      <c r="AA218" s="4" t="str">
        <f>HYPERLINK("http://141.218.60.56/~jnz1568/getInfo.php?workbook=11_01.xlsx&amp;sheet=A0&amp;row=218&amp;col=27&amp;number=&amp;sourceID=13","")</f>
        <v/>
      </c>
      <c r="AB218" s="4" t="str">
        <f>HYPERLINK("http://141.218.60.56/~jnz1568/getInfo.php?workbook=11_01.xlsx&amp;sheet=A0&amp;row=218&amp;col=28&amp;number=&amp;sourceID=13","")</f>
        <v/>
      </c>
      <c r="AC218" s="4" t="str">
        <f>HYPERLINK("http://141.218.60.56/~jnz1568/getInfo.php?workbook=11_01.xlsx&amp;sheet=A0&amp;row=218&amp;col=29&amp;number=&amp;sourceID=13","")</f>
        <v/>
      </c>
      <c r="AD218" s="4" t="str">
        <f>HYPERLINK("http://141.218.60.56/~jnz1568/getInfo.php?workbook=11_01.xlsx&amp;sheet=A0&amp;row=218&amp;col=30&amp;number=&amp;sourceID=13","")</f>
        <v/>
      </c>
      <c r="AE218" s="4" t="str">
        <f>HYPERLINK("http://141.218.60.56/~jnz1568/getInfo.php?workbook=11_01.xlsx&amp;sheet=A0&amp;row=218&amp;col=31&amp;number=&amp;sourceID=13","")</f>
        <v/>
      </c>
    </row>
    <row r="219" spans="1:31">
      <c r="A219" s="3">
        <v>11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HYPERLINK("http://141.218.60.56/~jnz1568/getInfo.php?workbook=11_01.xlsx&amp;sheet=A0&amp;row=219&amp;col=6&amp;number=&amp;sourceID=18","")</f>
        <v/>
      </c>
      <c r="G219" s="4" t="str">
        <f>HYPERLINK("http://141.218.60.56/~jnz1568/getInfo.php?workbook=11_01.xlsx&amp;sheet=A0&amp;row=219&amp;col=7&amp;number==&amp;sourceID=11","=")</f>
        <v>=</v>
      </c>
      <c r="H219" s="4" t="str">
        <f>HYPERLINK("http://141.218.60.56/~jnz1568/getInfo.php?workbook=11_01.xlsx&amp;sheet=A0&amp;row=219&amp;col=8&amp;number=35234000&amp;sourceID=11","35234000")</f>
        <v>35234000</v>
      </c>
      <c r="I219" s="4" t="str">
        <f>HYPERLINK("http://141.218.60.56/~jnz1568/getInfo.php?workbook=11_01.xlsx&amp;sheet=A0&amp;row=219&amp;col=9&amp;number=&amp;sourceID=11","")</f>
        <v/>
      </c>
      <c r="J219" s="4" t="str">
        <f>HYPERLINK("http://141.218.60.56/~jnz1568/getInfo.php?workbook=11_01.xlsx&amp;sheet=A0&amp;row=219&amp;col=10&amp;number=1.1228&amp;sourceID=11","1.1228")</f>
        <v>1.1228</v>
      </c>
      <c r="K219" s="4" t="str">
        <f>HYPERLINK("http://141.218.60.56/~jnz1568/getInfo.php?workbook=11_01.xlsx&amp;sheet=A0&amp;row=219&amp;col=11&amp;number=&amp;sourceID=11","")</f>
        <v/>
      </c>
      <c r="L219" s="4" t="str">
        <f>HYPERLINK("http://141.218.60.56/~jnz1568/getInfo.php?workbook=11_01.xlsx&amp;sheet=A0&amp;row=219&amp;col=12&amp;number=&amp;sourceID=11","")</f>
        <v/>
      </c>
      <c r="M219" s="4" t="str">
        <f>HYPERLINK("http://141.218.60.56/~jnz1568/getInfo.php?workbook=11_01.xlsx&amp;sheet=A0&amp;row=219&amp;col=13&amp;number=&amp;sourceID=11","")</f>
        <v/>
      </c>
      <c r="N219" s="4" t="str">
        <f>HYPERLINK("http://141.218.60.56/~jnz1568/getInfo.php?workbook=11_01.xlsx&amp;sheet=A0&amp;row=219&amp;col=14&amp;number=35235000&amp;sourceID=12","35235000")</f>
        <v>35235000</v>
      </c>
      <c r="O219" s="4" t="str">
        <f>HYPERLINK("http://141.218.60.56/~jnz1568/getInfo.php?workbook=11_01.xlsx&amp;sheet=A0&amp;row=219&amp;col=15&amp;number=35235000&amp;sourceID=12","35235000")</f>
        <v>35235000</v>
      </c>
      <c r="P219" s="4" t="str">
        <f>HYPERLINK("http://141.218.60.56/~jnz1568/getInfo.php?workbook=11_01.xlsx&amp;sheet=A0&amp;row=219&amp;col=16&amp;number=&amp;sourceID=12","")</f>
        <v/>
      </c>
      <c r="Q219" s="4" t="str">
        <f>HYPERLINK("http://141.218.60.56/~jnz1568/getInfo.php?workbook=11_01.xlsx&amp;sheet=A0&amp;row=219&amp;col=17&amp;number=1.1228&amp;sourceID=12","1.1228")</f>
        <v>1.1228</v>
      </c>
      <c r="R219" s="4" t="str">
        <f>HYPERLINK("http://141.218.60.56/~jnz1568/getInfo.php?workbook=11_01.xlsx&amp;sheet=A0&amp;row=219&amp;col=18&amp;number=&amp;sourceID=12","")</f>
        <v/>
      </c>
      <c r="S219" s="4" t="str">
        <f>HYPERLINK("http://141.218.60.56/~jnz1568/getInfo.php?workbook=11_01.xlsx&amp;sheet=A0&amp;row=219&amp;col=19&amp;number=&amp;sourceID=12","")</f>
        <v/>
      </c>
      <c r="T219" s="4" t="str">
        <f>HYPERLINK("http://141.218.60.56/~jnz1568/getInfo.php?workbook=11_01.xlsx&amp;sheet=A0&amp;row=219&amp;col=20&amp;number=&amp;sourceID=12","")</f>
        <v/>
      </c>
      <c r="U219" s="4" t="str">
        <f>HYPERLINK("http://141.218.60.56/~jnz1568/getInfo.php?workbook=11_01.xlsx&amp;sheet=A0&amp;row=219&amp;col=21&amp;number=35240000&amp;sourceID=30","35240000")</f>
        <v>35240000</v>
      </c>
      <c r="V219" s="4" t="str">
        <f>HYPERLINK("http://141.218.60.56/~jnz1568/getInfo.php?workbook=11_01.xlsx&amp;sheet=A0&amp;row=219&amp;col=22&amp;number=35240000&amp;sourceID=30","35240000")</f>
        <v>35240000</v>
      </c>
      <c r="W219" s="4" t="str">
        <f>HYPERLINK("http://141.218.60.56/~jnz1568/getInfo.php?workbook=11_01.xlsx&amp;sheet=A0&amp;row=219&amp;col=23&amp;number=&amp;sourceID=30","")</f>
        <v/>
      </c>
      <c r="X219" s="4" t="str">
        <f>HYPERLINK("http://141.218.60.56/~jnz1568/getInfo.php?workbook=11_01.xlsx&amp;sheet=A0&amp;row=219&amp;col=24&amp;number=&amp;sourceID=30","")</f>
        <v/>
      </c>
      <c r="Y219" s="4" t="str">
        <f>HYPERLINK("http://141.218.60.56/~jnz1568/getInfo.php?workbook=11_01.xlsx&amp;sheet=A0&amp;row=219&amp;col=25&amp;number=&amp;sourceID=30","")</f>
        <v/>
      </c>
      <c r="Z219" s="4" t="str">
        <f>HYPERLINK("http://141.218.60.56/~jnz1568/getInfo.php?workbook=11_01.xlsx&amp;sheet=A0&amp;row=219&amp;col=26&amp;number=&amp;sourceID=13","")</f>
        <v/>
      </c>
      <c r="AA219" s="4" t="str">
        <f>HYPERLINK("http://141.218.60.56/~jnz1568/getInfo.php?workbook=11_01.xlsx&amp;sheet=A0&amp;row=219&amp;col=27&amp;number=&amp;sourceID=13","")</f>
        <v/>
      </c>
      <c r="AB219" s="4" t="str">
        <f>HYPERLINK("http://141.218.60.56/~jnz1568/getInfo.php?workbook=11_01.xlsx&amp;sheet=A0&amp;row=219&amp;col=28&amp;number=&amp;sourceID=13","")</f>
        <v/>
      </c>
      <c r="AC219" s="4" t="str">
        <f>HYPERLINK("http://141.218.60.56/~jnz1568/getInfo.php?workbook=11_01.xlsx&amp;sheet=A0&amp;row=219&amp;col=29&amp;number=&amp;sourceID=13","")</f>
        <v/>
      </c>
      <c r="AD219" s="4" t="str">
        <f>HYPERLINK("http://141.218.60.56/~jnz1568/getInfo.php?workbook=11_01.xlsx&amp;sheet=A0&amp;row=219&amp;col=30&amp;number=&amp;sourceID=13","")</f>
        <v/>
      </c>
      <c r="AE219" s="4" t="str">
        <f>HYPERLINK("http://141.218.60.56/~jnz1568/getInfo.php?workbook=11_01.xlsx&amp;sheet=A0&amp;row=219&amp;col=31&amp;number=&amp;sourceID=13","")</f>
        <v/>
      </c>
    </row>
    <row r="220" spans="1:31">
      <c r="A220" s="3">
        <v>11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HYPERLINK("http://141.218.60.56/~jnz1568/getInfo.php?workbook=11_01.xlsx&amp;sheet=A0&amp;row=220&amp;col=6&amp;number=&amp;sourceID=18","")</f>
        <v/>
      </c>
      <c r="G220" s="4" t="str">
        <f>HYPERLINK("http://141.218.60.56/~jnz1568/getInfo.php?workbook=11_01.xlsx&amp;sheet=A0&amp;row=220&amp;col=7&amp;number==&amp;sourceID=11","=")</f>
        <v>=</v>
      </c>
      <c r="H220" s="4" t="str">
        <f>HYPERLINK("http://141.218.60.56/~jnz1568/getInfo.php?workbook=11_01.xlsx&amp;sheet=A0&amp;row=220&amp;col=8&amp;number=&amp;sourceID=11","")</f>
        <v/>
      </c>
      <c r="I220" s="4" t="str">
        <f>HYPERLINK("http://141.218.60.56/~jnz1568/getInfo.php?workbook=11_01.xlsx&amp;sheet=A0&amp;row=220&amp;col=9&amp;number=376730&amp;sourceID=11","376730")</f>
        <v>376730</v>
      </c>
      <c r="J220" s="4" t="str">
        <f>HYPERLINK("http://141.218.60.56/~jnz1568/getInfo.php?workbook=11_01.xlsx&amp;sheet=A0&amp;row=220&amp;col=10&amp;number=&amp;sourceID=11","")</f>
        <v/>
      </c>
      <c r="K220" s="4" t="str">
        <f>HYPERLINK("http://141.218.60.56/~jnz1568/getInfo.php?workbook=11_01.xlsx&amp;sheet=A0&amp;row=220&amp;col=11&amp;number=0.075331&amp;sourceID=11","0.075331")</f>
        <v>0.075331</v>
      </c>
      <c r="L220" s="4" t="str">
        <f>HYPERLINK("http://141.218.60.56/~jnz1568/getInfo.php?workbook=11_01.xlsx&amp;sheet=A0&amp;row=220&amp;col=12&amp;number=&amp;sourceID=11","")</f>
        <v/>
      </c>
      <c r="M220" s="4" t="str">
        <f>HYPERLINK("http://141.218.60.56/~jnz1568/getInfo.php?workbook=11_01.xlsx&amp;sheet=A0&amp;row=220&amp;col=13&amp;number=0.00076391&amp;sourceID=11","0.00076391")</f>
        <v>0.00076391</v>
      </c>
      <c r="N220" s="4" t="str">
        <f>HYPERLINK("http://141.218.60.56/~jnz1568/getInfo.php?workbook=11_01.xlsx&amp;sheet=A0&amp;row=220&amp;col=14&amp;number=376730&amp;sourceID=12","376730")</f>
        <v>376730</v>
      </c>
      <c r="O220" s="4" t="str">
        <f>HYPERLINK("http://141.218.60.56/~jnz1568/getInfo.php?workbook=11_01.xlsx&amp;sheet=A0&amp;row=220&amp;col=15&amp;number=&amp;sourceID=12","")</f>
        <v/>
      </c>
      <c r="P220" s="4" t="str">
        <f>HYPERLINK("http://141.218.60.56/~jnz1568/getInfo.php?workbook=11_01.xlsx&amp;sheet=A0&amp;row=220&amp;col=16&amp;number=376730&amp;sourceID=12","376730")</f>
        <v>376730</v>
      </c>
      <c r="Q220" s="4" t="str">
        <f>HYPERLINK("http://141.218.60.56/~jnz1568/getInfo.php?workbook=11_01.xlsx&amp;sheet=A0&amp;row=220&amp;col=17&amp;number=&amp;sourceID=12","")</f>
        <v/>
      </c>
      <c r="R220" s="4" t="str">
        <f>HYPERLINK("http://141.218.60.56/~jnz1568/getInfo.php?workbook=11_01.xlsx&amp;sheet=A0&amp;row=220&amp;col=18&amp;number=0.075333&amp;sourceID=12","0.075333")</f>
        <v>0.075333</v>
      </c>
      <c r="S220" s="4" t="str">
        <f>HYPERLINK("http://141.218.60.56/~jnz1568/getInfo.php?workbook=11_01.xlsx&amp;sheet=A0&amp;row=220&amp;col=19&amp;number=&amp;sourceID=12","")</f>
        <v/>
      </c>
      <c r="T220" s="4" t="str">
        <f>HYPERLINK("http://141.218.60.56/~jnz1568/getInfo.php?workbook=11_01.xlsx&amp;sheet=A0&amp;row=220&amp;col=20&amp;number=0.00076393&amp;sourceID=12","0.00076393")</f>
        <v>0.00076393</v>
      </c>
      <c r="U220" s="4" t="str">
        <f>HYPERLINK("http://141.218.60.56/~jnz1568/getInfo.php?workbook=11_01.xlsx&amp;sheet=A0&amp;row=220&amp;col=21&amp;number=376700.07529&amp;sourceID=30","376700.07529")</f>
        <v>376700.07529</v>
      </c>
      <c r="V220" s="4" t="str">
        <f>HYPERLINK("http://141.218.60.56/~jnz1568/getInfo.php?workbook=11_01.xlsx&amp;sheet=A0&amp;row=220&amp;col=22&amp;number=&amp;sourceID=30","")</f>
        <v/>
      </c>
      <c r="W220" s="4" t="str">
        <f>HYPERLINK("http://141.218.60.56/~jnz1568/getInfo.php?workbook=11_01.xlsx&amp;sheet=A0&amp;row=220&amp;col=23&amp;number=376700&amp;sourceID=30","376700")</f>
        <v>376700</v>
      </c>
      <c r="X220" s="4" t="str">
        <f>HYPERLINK("http://141.218.60.56/~jnz1568/getInfo.php?workbook=11_01.xlsx&amp;sheet=A0&amp;row=220&amp;col=24&amp;number=0.07529&amp;sourceID=30","0.07529")</f>
        <v>0.07529</v>
      </c>
      <c r="Y220" s="4" t="str">
        <f>HYPERLINK("http://141.218.60.56/~jnz1568/getInfo.php?workbook=11_01.xlsx&amp;sheet=A0&amp;row=220&amp;col=25&amp;number=&amp;sourceID=30","")</f>
        <v/>
      </c>
      <c r="Z220" s="4" t="str">
        <f>HYPERLINK("http://141.218.60.56/~jnz1568/getInfo.php?workbook=11_01.xlsx&amp;sheet=A0&amp;row=220&amp;col=26&amp;number=&amp;sourceID=13","")</f>
        <v/>
      </c>
      <c r="AA220" s="4" t="str">
        <f>HYPERLINK("http://141.218.60.56/~jnz1568/getInfo.php?workbook=11_01.xlsx&amp;sheet=A0&amp;row=220&amp;col=27&amp;number=&amp;sourceID=13","")</f>
        <v/>
      </c>
      <c r="AB220" s="4" t="str">
        <f>HYPERLINK("http://141.218.60.56/~jnz1568/getInfo.php?workbook=11_01.xlsx&amp;sheet=A0&amp;row=220&amp;col=28&amp;number=&amp;sourceID=13","")</f>
        <v/>
      </c>
      <c r="AC220" s="4" t="str">
        <f>HYPERLINK("http://141.218.60.56/~jnz1568/getInfo.php?workbook=11_01.xlsx&amp;sheet=A0&amp;row=220&amp;col=29&amp;number=&amp;sourceID=13","")</f>
        <v/>
      </c>
      <c r="AD220" s="4" t="str">
        <f>HYPERLINK("http://141.218.60.56/~jnz1568/getInfo.php?workbook=11_01.xlsx&amp;sheet=A0&amp;row=220&amp;col=30&amp;number=&amp;sourceID=13","")</f>
        <v/>
      </c>
      <c r="AE220" s="4" t="str">
        <f>HYPERLINK("http://141.218.60.56/~jnz1568/getInfo.php?workbook=11_01.xlsx&amp;sheet=A0&amp;row=220&amp;col=31&amp;number=&amp;sourceID=13","")</f>
        <v/>
      </c>
    </row>
    <row r="221" spans="1:31">
      <c r="A221" s="3">
        <v>11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HYPERLINK("http://141.218.60.56/~jnz1568/getInfo.php?workbook=11_01.xlsx&amp;sheet=A0&amp;row=221&amp;col=6&amp;number=&amp;sourceID=18","")</f>
        <v/>
      </c>
      <c r="G221" s="4" t="str">
        <f>HYPERLINK("http://141.218.60.56/~jnz1568/getInfo.php?workbook=11_01.xlsx&amp;sheet=A0&amp;row=221&amp;col=7&amp;number==&amp;sourceID=11","=")</f>
        <v>=</v>
      </c>
      <c r="H221" s="4" t="str">
        <f>HYPERLINK("http://141.218.60.56/~jnz1568/getInfo.php?workbook=11_01.xlsx&amp;sheet=A0&amp;row=221&amp;col=8&amp;number=706790000&amp;sourceID=11","706790000")</f>
        <v>706790000</v>
      </c>
      <c r="I221" s="4" t="str">
        <f>HYPERLINK("http://141.218.60.56/~jnz1568/getInfo.php?workbook=11_01.xlsx&amp;sheet=A0&amp;row=221&amp;col=9&amp;number=&amp;sourceID=11","")</f>
        <v/>
      </c>
      <c r="J221" s="4" t="str">
        <f>HYPERLINK("http://141.218.60.56/~jnz1568/getInfo.php?workbook=11_01.xlsx&amp;sheet=A0&amp;row=221&amp;col=10&amp;number=2.8042&amp;sourceID=11","2.8042")</f>
        <v>2.8042</v>
      </c>
      <c r="K221" s="4" t="str">
        <f>HYPERLINK("http://141.218.60.56/~jnz1568/getInfo.php?workbook=11_01.xlsx&amp;sheet=A0&amp;row=221&amp;col=11&amp;number=&amp;sourceID=11","")</f>
        <v/>
      </c>
      <c r="L221" s="4" t="str">
        <f>HYPERLINK("http://141.218.60.56/~jnz1568/getInfo.php?workbook=11_01.xlsx&amp;sheet=A0&amp;row=221&amp;col=12&amp;number=1.3651&amp;sourceID=11","1.3651")</f>
        <v>1.3651</v>
      </c>
      <c r="M221" s="4" t="str">
        <f>HYPERLINK("http://141.218.60.56/~jnz1568/getInfo.php?workbook=11_01.xlsx&amp;sheet=A0&amp;row=221&amp;col=13&amp;number=&amp;sourceID=11","")</f>
        <v/>
      </c>
      <c r="N221" s="4" t="str">
        <f>HYPERLINK("http://141.218.60.56/~jnz1568/getInfo.php?workbook=11_01.xlsx&amp;sheet=A0&amp;row=221&amp;col=14&amp;number=706800000&amp;sourceID=12","706800000")</f>
        <v>706800000</v>
      </c>
      <c r="O221" s="4" t="str">
        <f>HYPERLINK("http://141.218.60.56/~jnz1568/getInfo.php?workbook=11_01.xlsx&amp;sheet=A0&amp;row=221&amp;col=15&amp;number=706800000&amp;sourceID=12","706800000")</f>
        <v>706800000</v>
      </c>
      <c r="P221" s="4" t="str">
        <f>HYPERLINK("http://141.218.60.56/~jnz1568/getInfo.php?workbook=11_01.xlsx&amp;sheet=A0&amp;row=221&amp;col=16&amp;number=&amp;sourceID=12","")</f>
        <v/>
      </c>
      <c r="Q221" s="4" t="str">
        <f>HYPERLINK("http://141.218.60.56/~jnz1568/getInfo.php?workbook=11_01.xlsx&amp;sheet=A0&amp;row=221&amp;col=17&amp;number=2.8043&amp;sourceID=12","2.8043")</f>
        <v>2.8043</v>
      </c>
      <c r="R221" s="4" t="str">
        <f>HYPERLINK("http://141.218.60.56/~jnz1568/getInfo.php?workbook=11_01.xlsx&amp;sheet=A0&amp;row=221&amp;col=18&amp;number=&amp;sourceID=12","")</f>
        <v/>
      </c>
      <c r="S221" s="4" t="str">
        <f>HYPERLINK("http://141.218.60.56/~jnz1568/getInfo.php?workbook=11_01.xlsx&amp;sheet=A0&amp;row=221&amp;col=19&amp;number=1.3651&amp;sourceID=12","1.3651")</f>
        <v>1.3651</v>
      </c>
      <c r="T221" s="4" t="str">
        <f>HYPERLINK("http://141.218.60.56/~jnz1568/getInfo.php?workbook=11_01.xlsx&amp;sheet=A0&amp;row=221&amp;col=20&amp;number=&amp;sourceID=12","")</f>
        <v/>
      </c>
      <c r="U221" s="4" t="str">
        <f>HYPERLINK("http://141.218.60.56/~jnz1568/getInfo.php?workbook=11_01.xlsx&amp;sheet=A0&amp;row=221&amp;col=21&amp;number=706800001.365&amp;sourceID=30","706800001.365")</f>
        <v>706800001.365</v>
      </c>
      <c r="V221" s="4" t="str">
        <f>HYPERLINK("http://141.218.60.56/~jnz1568/getInfo.php?workbook=11_01.xlsx&amp;sheet=A0&amp;row=221&amp;col=22&amp;number=706800000&amp;sourceID=30","706800000")</f>
        <v>706800000</v>
      </c>
      <c r="W221" s="4" t="str">
        <f>HYPERLINK("http://141.218.60.56/~jnz1568/getInfo.php?workbook=11_01.xlsx&amp;sheet=A0&amp;row=221&amp;col=23&amp;number=&amp;sourceID=30","")</f>
        <v/>
      </c>
      <c r="X221" s="4" t="str">
        <f>HYPERLINK("http://141.218.60.56/~jnz1568/getInfo.php?workbook=11_01.xlsx&amp;sheet=A0&amp;row=221&amp;col=24&amp;number=&amp;sourceID=30","")</f>
        <v/>
      </c>
      <c r="Y221" s="4" t="str">
        <f>HYPERLINK("http://141.218.60.56/~jnz1568/getInfo.php?workbook=11_01.xlsx&amp;sheet=A0&amp;row=221&amp;col=25&amp;number=1.365&amp;sourceID=30","1.365")</f>
        <v>1.365</v>
      </c>
      <c r="Z221" s="4" t="str">
        <f>HYPERLINK("http://141.218.60.56/~jnz1568/getInfo.php?workbook=11_01.xlsx&amp;sheet=A0&amp;row=221&amp;col=26&amp;number=&amp;sourceID=13","")</f>
        <v/>
      </c>
      <c r="AA221" s="4" t="str">
        <f>HYPERLINK("http://141.218.60.56/~jnz1568/getInfo.php?workbook=11_01.xlsx&amp;sheet=A0&amp;row=221&amp;col=27&amp;number=&amp;sourceID=13","")</f>
        <v/>
      </c>
      <c r="AB221" s="4" t="str">
        <f>HYPERLINK("http://141.218.60.56/~jnz1568/getInfo.php?workbook=11_01.xlsx&amp;sheet=A0&amp;row=221&amp;col=28&amp;number=&amp;sourceID=13","")</f>
        <v/>
      </c>
      <c r="AC221" s="4" t="str">
        <f>HYPERLINK("http://141.218.60.56/~jnz1568/getInfo.php?workbook=11_01.xlsx&amp;sheet=A0&amp;row=221&amp;col=29&amp;number=&amp;sourceID=13","")</f>
        <v/>
      </c>
      <c r="AD221" s="4" t="str">
        <f>HYPERLINK("http://141.218.60.56/~jnz1568/getInfo.php?workbook=11_01.xlsx&amp;sheet=A0&amp;row=221&amp;col=30&amp;number=&amp;sourceID=13","")</f>
        <v/>
      </c>
      <c r="AE221" s="4" t="str">
        <f>HYPERLINK("http://141.218.60.56/~jnz1568/getInfo.php?workbook=11_01.xlsx&amp;sheet=A0&amp;row=221&amp;col=31&amp;number=&amp;sourceID=13","")</f>
        <v/>
      </c>
    </row>
    <row r="222" spans="1:31">
      <c r="A222" s="3">
        <v>11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HYPERLINK("http://141.218.60.56/~jnz1568/getInfo.php?workbook=11_01.xlsx&amp;sheet=A0&amp;row=222&amp;col=6&amp;number=&amp;sourceID=18","")</f>
        <v/>
      </c>
      <c r="G222" s="4" t="str">
        <f>HYPERLINK("http://141.218.60.56/~jnz1568/getInfo.php?workbook=11_01.xlsx&amp;sheet=A0&amp;row=222&amp;col=7&amp;number==&amp;sourceID=11","=")</f>
        <v>=</v>
      </c>
      <c r="H222" s="4" t="str">
        <f>HYPERLINK("http://141.218.60.56/~jnz1568/getInfo.php?workbook=11_01.xlsx&amp;sheet=A0&amp;row=222&amp;col=8&amp;number=&amp;sourceID=11","")</f>
        <v/>
      </c>
      <c r="I222" s="4" t="str">
        <f>HYPERLINK("http://141.218.60.56/~jnz1568/getInfo.php?workbook=11_01.xlsx&amp;sheet=A0&amp;row=222&amp;col=9&amp;number=&amp;sourceID=11","")</f>
        <v/>
      </c>
      <c r="J222" s="4" t="str">
        <f>HYPERLINK("http://141.218.60.56/~jnz1568/getInfo.php?workbook=11_01.xlsx&amp;sheet=A0&amp;row=222&amp;col=10&amp;number=0&amp;sourceID=11","0")</f>
        <v>0</v>
      </c>
      <c r="K222" s="4" t="str">
        <f>HYPERLINK("http://141.218.60.56/~jnz1568/getInfo.php?workbook=11_01.xlsx&amp;sheet=A0&amp;row=222&amp;col=11&amp;number=&amp;sourceID=11","")</f>
        <v/>
      </c>
      <c r="L222" s="4" t="str">
        <f>HYPERLINK("http://141.218.60.56/~jnz1568/getInfo.php?workbook=11_01.xlsx&amp;sheet=A0&amp;row=222&amp;col=12&amp;number=4.16e-13&amp;sourceID=11","4.16e-13")</f>
        <v>4.16e-13</v>
      </c>
      <c r="M222" s="4" t="str">
        <f>HYPERLINK("http://141.218.60.56/~jnz1568/getInfo.php?workbook=11_01.xlsx&amp;sheet=A0&amp;row=222&amp;col=13&amp;number=&amp;sourceID=11","")</f>
        <v/>
      </c>
      <c r="N222" s="4" t="str">
        <f>HYPERLINK("http://141.218.60.56/~jnz1568/getInfo.php?workbook=11_01.xlsx&amp;sheet=A0&amp;row=222&amp;col=14&amp;number=4.16e-13&amp;sourceID=12","4.16e-13")</f>
        <v>4.16e-13</v>
      </c>
      <c r="O222" s="4" t="str">
        <f>HYPERLINK("http://141.218.60.56/~jnz1568/getInfo.php?workbook=11_01.xlsx&amp;sheet=A0&amp;row=222&amp;col=15&amp;number=&amp;sourceID=12","")</f>
        <v/>
      </c>
      <c r="P222" s="4" t="str">
        <f>HYPERLINK("http://141.218.60.56/~jnz1568/getInfo.php?workbook=11_01.xlsx&amp;sheet=A0&amp;row=222&amp;col=16&amp;number=&amp;sourceID=12","")</f>
        <v/>
      </c>
      <c r="Q222" s="4" t="str">
        <f>HYPERLINK("http://141.218.60.56/~jnz1568/getInfo.php?workbook=11_01.xlsx&amp;sheet=A0&amp;row=222&amp;col=17&amp;number=0&amp;sourceID=12","0")</f>
        <v>0</v>
      </c>
      <c r="R222" s="4" t="str">
        <f>HYPERLINK("http://141.218.60.56/~jnz1568/getInfo.php?workbook=11_01.xlsx&amp;sheet=A0&amp;row=222&amp;col=18&amp;number=&amp;sourceID=12","")</f>
        <v/>
      </c>
      <c r="S222" s="4" t="str">
        <f>HYPERLINK("http://141.218.60.56/~jnz1568/getInfo.php?workbook=11_01.xlsx&amp;sheet=A0&amp;row=222&amp;col=19&amp;number=4.16e-13&amp;sourceID=12","4.16e-13")</f>
        <v>4.16e-13</v>
      </c>
      <c r="T222" s="4" t="str">
        <f>HYPERLINK("http://141.218.60.56/~jnz1568/getInfo.php?workbook=11_01.xlsx&amp;sheet=A0&amp;row=222&amp;col=20&amp;number=&amp;sourceID=12","")</f>
        <v/>
      </c>
      <c r="U222" s="4" t="str">
        <f>HYPERLINK("http://141.218.60.56/~jnz1568/getInfo.php?workbook=11_01.xlsx&amp;sheet=A0&amp;row=222&amp;col=21&amp;number=4.16e-13&amp;sourceID=30","4.16e-13")</f>
        <v>4.16e-13</v>
      </c>
      <c r="V222" s="4" t="str">
        <f>HYPERLINK("http://141.218.60.56/~jnz1568/getInfo.php?workbook=11_01.xlsx&amp;sheet=A0&amp;row=222&amp;col=22&amp;number=&amp;sourceID=30","")</f>
        <v/>
      </c>
      <c r="W222" s="4" t="str">
        <f>HYPERLINK("http://141.218.60.56/~jnz1568/getInfo.php?workbook=11_01.xlsx&amp;sheet=A0&amp;row=222&amp;col=23&amp;number=&amp;sourceID=30","")</f>
        <v/>
      </c>
      <c r="X222" s="4" t="str">
        <f>HYPERLINK("http://141.218.60.56/~jnz1568/getInfo.php?workbook=11_01.xlsx&amp;sheet=A0&amp;row=222&amp;col=24&amp;number=&amp;sourceID=30","")</f>
        <v/>
      </c>
      <c r="Y222" s="4" t="str">
        <f>HYPERLINK("http://141.218.60.56/~jnz1568/getInfo.php?workbook=11_01.xlsx&amp;sheet=A0&amp;row=222&amp;col=25&amp;number=4.16e-13&amp;sourceID=30","4.16e-13")</f>
        <v>4.16e-13</v>
      </c>
      <c r="Z222" s="4" t="str">
        <f>HYPERLINK("http://141.218.60.56/~jnz1568/getInfo.php?workbook=11_01.xlsx&amp;sheet=A0&amp;row=222&amp;col=26&amp;number=&amp;sourceID=13","")</f>
        <v/>
      </c>
      <c r="AA222" s="4" t="str">
        <f>HYPERLINK("http://141.218.60.56/~jnz1568/getInfo.php?workbook=11_01.xlsx&amp;sheet=A0&amp;row=222&amp;col=27&amp;number=&amp;sourceID=13","")</f>
        <v/>
      </c>
      <c r="AB222" s="4" t="str">
        <f>HYPERLINK("http://141.218.60.56/~jnz1568/getInfo.php?workbook=11_01.xlsx&amp;sheet=A0&amp;row=222&amp;col=28&amp;number=&amp;sourceID=13","")</f>
        <v/>
      </c>
      <c r="AC222" s="4" t="str">
        <f>HYPERLINK("http://141.218.60.56/~jnz1568/getInfo.php?workbook=11_01.xlsx&amp;sheet=A0&amp;row=222&amp;col=29&amp;number=&amp;sourceID=13","")</f>
        <v/>
      </c>
      <c r="AD222" s="4" t="str">
        <f>HYPERLINK("http://141.218.60.56/~jnz1568/getInfo.php?workbook=11_01.xlsx&amp;sheet=A0&amp;row=222&amp;col=30&amp;number=&amp;sourceID=13","")</f>
        <v/>
      </c>
      <c r="AE222" s="4" t="str">
        <f>HYPERLINK("http://141.218.60.56/~jnz1568/getInfo.php?workbook=11_01.xlsx&amp;sheet=A0&amp;row=222&amp;col=31&amp;number=&amp;sourceID=13","")</f>
        <v/>
      </c>
    </row>
    <row r="223" spans="1:31">
      <c r="A223" s="3">
        <v>11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HYPERLINK("http://141.218.60.56/~jnz1568/getInfo.php?workbook=11_01.xlsx&amp;sheet=A0&amp;row=223&amp;col=6&amp;number=&amp;sourceID=18","")</f>
        <v/>
      </c>
      <c r="G223" s="4" t="str">
        <f>HYPERLINK("http://141.218.60.56/~jnz1568/getInfo.php?workbook=11_01.xlsx&amp;sheet=A0&amp;row=223&amp;col=7&amp;number==&amp;sourceID=11","=")</f>
        <v>=</v>
      </c>
      <c r="H223" s="4" t="str">
        <f>HYPERLINK("http://141.218.60.56/~jnz1568/getInfo.php?workbook=11_01.xlsx&amp;sheet=A0&amp;row=223&amp;col=8&amp;number=&amp;sourceID=11","")</f>
        <v/>
      </c>
      <c r="I223" s="4" t="str">
        <f>HYPERLINK("http://141.218.60.56/~jnz1568/getInfo.php?workbook=11_01.xlsx&amp;sheet=A0&amp;row=223&amp;col=9&amp;number=6.0469e-08&amp;sourceID=11","6.0469e-08")</f>
        <v>6.0469e-08</v>
      </c>
      <c r="J223" s="4" t="str">
        <f>HYPERLINK("http://141.218.60.56/~jnz1568/getInfo.php?workbook=11_01.xlsx&amp;sheet=A0&amp;row=223&amp;col=10&amp;number=&amp;sourceID=11","")</f>
        <v/>
      </c>
      <c r="K223" s="4" t="str">
        <f>HYPERLINK("http://141.218.60.56/~jnz1568/getInfo.php?workbook=11_01.xlsx&amp;sheet=A0&amp;row=223&amp;col=11&amp;number=&amp;sourceID=11","")</f>
        <v/>
      </c>
      <c r="L223" s="4" t="str">
        <f>HYPERLINK("http://141.218.60.56/~jnz1568/getInfo.php?workbook=11_01.xlsx&amp;sheet=A0&amp;row=223&amp;col=12&amp;number=&amp;sourceID=11","")</f>
        <v/>
      </c>
      <c r="M223" s="4" t="str">
        <f>HYPERLINK("http://141.218.60.56/~jnz1568/getInfo.php?workbook=11_01.xlsx&amp;sheet=A0&amp;row=223&amp;col=13&amp;number=0&amp;sourceID=11","0")</f>
        <v>0</v>
      </c>
      <c r="N223" s="4" t="str">
        <f>HYPERLINK("http://141.218.60.56/~jnz1568/getInfo.php?workbook=11_01.xlsx&amp;sheet=A0&amp;row=223&amp;col=14&amp;number=6.0476e-08&amp;sourceID=12","6.0476e-08")</f>
        <v>6.0476e-08</v>
      </c>
      <c r="O223" s="4" t="str">
        <f>HYPERLINK("http://141.218.60.56/~jnz1568/getInfo.php?workbook=11_01.xlsx&amp;sheet=A0&amp;row=223&amp;col=15&amp;number=&amp;sourceID=12","")</f>
        <v/>
      </c>
      <c r="P223" s="4" t="str">
        <f>HYPERLINK("http://141.218.60.56/~jnz1568/getInfo.php?workbook=11_01.xlsx&amp;sheet=A0&amp;row=223&amp;col=16&amp;number=6.0476e-08&amp;sourceID=12","6.0476e-08")</f>
        <v>6.0476e-08</v>
      </c>
      <c r="Q223" s="4" t="str">
        <f>HYPERLINK("http://141.218.60.56/~jnz1568/getInfo.php?workbook=11_01.xlsx&amp;sheet=A0&amp;row=223&amp;col=17&amp;number=&amp;sourceID=12","")</f>
        <v/>
      </c>
      <c r="R223" s="4" t="str">
        <f>HYPERLINK("http://141.218.60.56/~jnz1568/getInfo.php?workbook=11_01.xlsx&amp;sheet=A0&amp;row=223&amp;col=18&amp;number=&amp;sourceID=12","")</f>
        <v/>
      </c>
      <c r="S223" s="4" t="str">
        <f>HYPERLINK("http://141.218.60.56/~jnz1568/getInfo.php?workbook=11_01.xlsx&amp;sheet=A0&amp;row=223&amp;col=19&amp;number=&amp;sourceID=12","")</f>
        <v/>
      </c>
      <c r="T223" s="4" t="str">
        <f>HYPERLINK("http://141.218.60.56/~jnz1568/getInfo.php?workbook=11_01.xlsx&amp;sheet=A0&amp;row=223&amp;col=20&amp;number=0&amp;sourceID=12","0")</f>
        <v>0</v>
      </c>
      <c r="U223" s="4" t="str">
        <f>HYPERLINK("http://141.218.60.56/~jnz1568/getInfo.php?workbook=11_01.xlsx&amp;sheet=A0&amp;row=223&amp;col=21&amp;number=6.048e-08&amp;sourceID=30","6.048e-08")</f>
        <v>6.048e-08</v>
      </c>
      <c r="V223" s="4" t="str">
        <f>HYPERLINK("http://141.218.60.56/~jnz1568/getInfo.php?workbook=11_01.xlsx&amp;sheet=A0&amp;row=223&amp;col=22&amp;number=&amp;sourceID=30","")</f>
        <v/>
      </c>
      <c r="W223" s="4" t="str">
        <f>HYPERLINK("http://141.218.60.56/~jnz1568/getInfo.php?workbook=11_01.xlsx&amp;sheet=A0&amp;row=223&amp;col=23&amp;number=6.048e-08&amp;sourceID=30","6.048e-08")</f>
        <v>6.048e-08</v>
      </c>
      <c r="X223" s="4" t="str">
        <f>HYPERLINK("http://141.218.60.56/~jnz1568/getInfo.php?workbook=11_01.xlsx&amp;sheet=A0&amp;row=223&amp;col=24&amp;number=&amp;sourceID=30","")</f>
        <v/>
      </c>
      <c r="Y223" s="4" t="str">
        <f>HYPERLINK("http://141.218.60.56/~jnz1568/getInfo.php?workbook=11_01.xlsx&amp;sheet=A0&amp;row=223&amp;col=25&amp;number=&amp;sourceID=30","")</f>
        <v/>
      </c>
      <c r="Z223" s="4" t="str">
        <f>HYPERLINK("http://141.218.60.56/~jnz1568/getInfo.php?workbook=11_01.xlsx&amp;sheet=A0&amp;row=223&amp;col=26&amp;number=&amp;sourceID=13","")</f>
        <v/>
      </c>
      <c r="AA223" s="4" t="str">
        <f>HYPERLINK("http://141.218.60.56/~jnz1568/getInfo.php?workbook=11_01.xlsx&amp;sheet=A0&amp;row=223&amp;col=27&amp;number=&amp;sourceID=13","")</f>
        <v/>
      </c>
      <c r="AB223" s="4" t="str">
        <f>HYPERLINK("http://141.218.60.56/~jnz1568/getInfo.php?workbook=11_01.xlsx&amp;sheet=A0&amp;row=223&amp;col=28&amp;number=&amp;sourceID=13","")</f>
        <v/>
      </c>
      <c r="AC223" s="4" t="str">
        <f>HYPERLINK("http://141.218.60.56/~jnz1568/getInfo.php?workbook=11_01.xlsx&amp;sheet=A0&amp;row=223&amp;col=29&amp;number=&amp;sourceID=13","")</f>
        <v/>
      </c>
      <c r="AD223" s="4" t="str">
        <f>HYPERLINK("http://141.218.60.56/~jnz1568/getInfo.php?workbook=11_01.xlsx&amp;sheet=A0&amp;row=223&amp;col=30&amp;number=&amp;sourceID=13","")</f>
        <v/>
      </c>
      <c r="AE223" s="4" t="str">
        <f>HYPERLINK("http://141.218.60.56/~jnz1568/getInfo.php?workbook=11_01.xlsx&amp;sheet=A0&amp;row=223&amp;col=31&amp;number=&amp;sourceID=13","")</f>
        <v/>
      </c>
    </row>
    <row r="224" spans="1:31">
      <c r="A224" s="3">
        <v>11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HYPERLINK("http://141.218.60.56/~jnz1568/getInfo.php?workbook=11_01.xlsx&amp;sheet=A0&amp;row=224&amp;col=6&amp;number=&amp;sourceID=18","")</f>
        <v/>
      </c>
      <c r="G224" s="4" t="str">
        <f>HYPERLINK("http://141.218.60.56/~jnz1568/getInfo.php?workbook=11_01.xlsx&amp;sheet=A0&amp;row=224&amp;col=7&amp;number==&amp;sourceID=11","=")</f>
        <v>=</v>
      </c>
      <c r="H224" s="4" t="str">
        <f>HYPERLINK("http://141.218.60.56/~jnz1568/getInfo.php?workbook=11_01.xlsx&amp;sheet=A0&amp;row=224&amp;col=8&amp;number=&amp;sourceID=11","")</f>
        <v/>
      </c>
      <c r="I224" s="4" t="str">
        <f>HYPERLINK("http://141.218.60.56/~jnz1568/getInfo.php?workbook=11_01.xlsx&amp;sheet=A0&amp;row=224&amp;col=9&amp;number=1.5462e-11&amp;sourceID=11","1.5462e-11")</f>
        <v>1.5462e-11</v>
      </c>
      <c r="J224" s="4" t="str">
        <f>HYPERLINK("http://141.218.60.56/~jnz1568/getInfo.php?workbook=11_01.xlsx&amp;sheet=A0&amp;row=224&amp;col=10&amp;number=&amp;sourceID=11","")</f>
        <v/>
      </c>
      <c r="K224" s="4" t="str">
        <f>HYPERLINK("http://141.218.60.56/~jnz1568/getInfo.php?workbook=11_01.xlsx&amp;sheet=A0&amp;row=224&amp;col=11&amp;number=1.6076e-05&amp;sourceID=11","1.6076e-05")</f>
        <v>1.6076e-05</v>
      </c>
      <c r="L224" s="4" t="str">
        <f>HYPERLINK("http://141.218.60.56/~jnz1568/getInfo.php?workbook=11_01.xlsx&amp;sheet=A0&amp;row=224&amp;col=12&amp;number=&amp;sourceID=11","")</f>
        <v/>
      </c>
      <c r="M224" s="4" t="str">
        <f>HYPERLINK("http://141.218.60.56/~jnz1568/getInfo.php?workbook=11_01.xlsx&amp;sheet=A0&amp;row=224&amp;col=13&amp;number=0&amp;sourceID=11","0")</f>
        <v>0</v>
      </c>
      <c r="N224" s="4" t="str">
        <f>HYPERLINK("http://141.218.60.56/~jnz1568/getInfo.php?workbook=11_01.xlsx&amp;sheet=A0&amp;row=224&amp;col=14&amp;number=1.6078e-05&amp;sourceID=12","1.6078e-05")</f>
        <v>1.6078e-05</v>
      </c>
      <c r="O224" s="4" t="str">
        <f>HYPERLINK("http://141.218.60.56/~jnz1568/getInfo.php?workbook=11_01.xlsx&amp;sheet=A0&amp;row=224&amp;col=15&amp;number=&amp;sourceID=12","")</f>
        <v/>
      </c>
      <c r="P224" s="4" t="str">
        <f>HYPERLINK("http://141.218.60.56/~jnz1568/getInfo.php?workbook=11_01.xlsx&amp;sheet=A0&amp;row=224&amp;col=16&amp;number=1.5465e-11&amp;sourceID=12","1.5465e-11")</f>
        <v>1.5465e-11</v>
      </c>
      <c r="Q224" s="4" t="str">
        <f>HYPERLINK("http://141.218.60.56/~jnz1568/getInfo.php?workbook=11_01.xlsx&amp;sheet=A0&amp;row=224&amp;col=17&amp;number=&amp;sourceID=12","")</f>
        <v/>
      </c>
      <c r="R224" s="4" t="str">
        <f>HYPERLINK("http://141.218.60.56/~jnz1568/getInfo.php?workbook=11_01.xlsx&amp;sheet=A0&amp;row=224&amp;col=18&amp;number=1.6078e-05&amp;sourceID=12","1.6078e-05")</f>
        <v>1.6078e-05</v>
      </c>
      <c r="S224" s="4" t="str">
        <f>HYPERLINK("http://141.218.60.56/~jnz1568/getInfo.php?workbook=11_01.xlsx&amp;sheet=A0&amp;row=224&amp;col=19&amp;number=&amp;sourceID=12","")</f>
        <v/>
      </c>
      <c r="T224" s="4" t="str">
        <f>HYPERLINK("http://141.218.60.56/~jnz1568/getInfo.php?workbook=11_01.xlsx&amp;sheet=A0&amp;row=224&amp;col=20&amp;number=0&amp;sourceID=12","0")</f>
        <v>0</v>
      </c>
      <c r="U224" s="4" t="str">
        <f>HYPERLINK("http://141.218.60.56/~jnz1568/getInfo.php?workbook=11_01.xlsx&amp;sheet=A0&amp;row=224&amp;col=21&amp;number=1.608001547e-05&amp;sourceID=30","1.608001547e-05")</f>
        <v>1.608001547e-05</v>
      </c>
      <c r="V224" s="4" t="str">
        <f>HYPERLINK("http://141.218.60.56/~jnz1568/getInfo.php?workbook=11_01.xlsx&amp;sheet=A0&amp;row=224&amp;col=22&amp;number=&amp;sourceID=30","")</f>
        <v/>
      </c>
      <c r="W224" s="4" t="str">
        <f>HYPERLINK("http://141.218.60.56/~jnz1568/getInfo.php?workbook=11_01.xlsx&amp;sheet=A0&amp;row=224&amp;col=23&amp;number=1.547e-11&amp;sourceID=30","1.547e-11")</f>
        <v>1.547e-11</v>
      </c>
      <c r="X224" s="4" t="str">
        <f>HYPERLINK("http://141.218.60.56/~jnz1568/getInfo.php?workbook=11_01.xlsx&amp;sheet=A0&amp;row=224&amp;col=24&amp;number=1.608e-05&amp;sourceID=30","1.608e-05")</f>
        <v>1.608e-05</v>
      </c>
      <c r="Y224" s="4" t="str">
        <f>HYPERLINK("http://141.218.60.56/~jnz1568/getInfo.php?workbook=11_01.xlsx&amp;sheet=A0&amp;row=224&amp;col=25&amp;number=&amp;sourceID=30","")</f>
        <v/>
      </c>
      <c r="Z224" s="4" t="str">
        <f>HYPERLINK("http://141.218.60.56/~jnz1568/getInfo.php?workbook=11_01.xlsx&amp;sheet=A0&amp;row=224&amp;col=26&amp;number=&amp;sourceID=13","")</f>
        <v/>
      </c>
      <c r="AA224" s="4" t="str">
        <f>HYPERLINK("http://141.218.60.56/~jnz1568/getInfo.php?workbook=11_01.xlsx&amp;sheet=A0&amp;row=224&amp;col=27&amp;number=&amp;sourceID=13","")</f>
        <v/>
      </c>
      <c r="AB224" s="4" t="str">
        <f>HYPERLINK("http://141.218.60.56/~jnz1568/getInfo.php?workbook=11_01.xlsx&amp;sheet=A0&amp;row=224&amp;col=28&amp;number=&amp;sourceID=13","")</f>
        <v/>
      </c>
      <c r="AC224" s="4" t="str">
        <f>HYPERLINK("http://141.218.60.56/~jnz1568/getInfo.php?workbook=11_01.xlsx&amp;sheet=A0&amp;row=224&amp;col=29&amp;number=&amp;sourceID=13","")</f>
        <v/>
      </c>
      <c r="AD224" s="4" t="str">
        <f>HYPERLINK("http://141.218.60.56/~jnz1568/getInfo.php?workbook=11_01.xlsx&amp;sheet=A0&amp;row=224&amp;col=30&amp;number=&amp;sourceID=13","")</f>
        <v/>
      </c>
      <c r="AE224" s="4" t="str">
        <f>HYPERLINK("http://141.218.60.56/~jnz1568/getInfo.php?workbook=11_01.xlsx&amp;sheet=A0&amp;row=224&amp;col=31&amp;number=&amp;sourceID=13","")</f>
        <v/>
      </c>
    </row>
    <row r="225" spans="1:31">
      <c r="A225" s="3">
        <v>11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HYPERLINK("http://141.218.60.56/~jnz1568/getInfo.php?workbook=11_01.xlsx&amp;sheet=A0&amp;row=225&amp;col=6&amp;number=&amp;sourceID=18","")</f>
        <v/>
      </c>
      <c r="G225" s="4" t="str">
        <f>HYPERLINK("http://141.218.60.56/~jnz1568/getInfo.php?workbook=11_01.xlsx&amp;sheet=A0&amp;row=225&amp;col=7&amp;number==&amp;sourceID=11","=")</f>
        <v>=</v>
      </c>
      <c r="H225" s="4" t="str">
        <f>HYPERLINK("http://141.218.60.56/~jnz1568/getInfo.php?workbook=11_01.xlsx&amp;sheet=A0&amp;row=225&amp;col=8&amp;number=11.784&amp;sourceID=11","11.784")</f>
        <v>11.784</v>
      </c>
      <c r="I225" s="4" t="str">
        <f>HYPERLINK("http://141.218.60.56/~jnz1568/getInfo.php?workbook=11_01.xlsx&amp;sheet=A0&amp;row=225&amp;col=9&amp;number=&amp;sourceID=11","")</f>
        <v/>
      </c>
      <c r="J225" s="4" t="str">
        <f>HYPERLINK("http://141.218.60.56/~jnz1568/getInfo.php?workbook=11_01.xlsx&amp;sheet=A0&amp;row=225&amp;col=10&amp;number=0&amp;sourceID=11","0")</f>
        <v>0</v>
      </c>
      <c r="K225" s="4" t="str">
        <f>HYPERLINK("http://141.218.60.56/~jnz1568/getInfo.php?workbook=11_01.xlsx&amp;sheet=A0&amp;row=225&amp;col=11&amp;number=&amp;sourceID=11","")</f>
        <v/>
      </c>
      <c r="L225" s="4" t="str">
        <f>HYPERLINK("http://141.218.60.56/~jnz1568/getInfo.php?workbook=11_01.xlsx&amp;sheet=A0&amp;row=225&amp;col=12&amp;number=2e-15&amp;sourceID=11","2e-15")</f>
        <v>2e-15</v>
      </c>
      <c r="M225" s="4" t="str">
        <f>HYPERLINK("http://141.218.60.56/~jnz1568/getInfo.php?workbook=11_01.xlsx&amp;sheet=A0&amp;row=225&amp;col=13&amp;number=&amp;sourceID=11","")</f>
        <v/>
      </c>
      <c r="N225" s="4" t="str">
        <f>HYPERLINK("http://141.218.60.56/~jnz1568/getInfo.php?workbook=11_01.xlsx&amp;sheet=A0&amp;row=225&amp;col=14&amp;number=11.785&amp;sourceID=12","11.785")</f>
        <v>11.785</v>
      </c>
      <c r="O225" s="4" t="str">
        <f>HYPERLINK("http://141.218.60.56/~jnz1568/getInfo.php?workbook=11_01.xlsx&amp;sheet=A0&amp;row=225&amp;col=15&amp;number=11.785&amp;sourceID=12","11.785")</f>
        <v>11.785</v>
      </c>
      <c r="P225" s="4" t="str">
        <f>HYPERLINK("http://141.218.60.56/~jnz1568/getInfo.php?workbook=11_01.xlsx&amp;sheet=A0&amp;row=225&amp;col=16&amp;number=&amp;sourceID=12","")</f>
        <v/>
      </c>
      <c r="Q225" s="4" t="str">
        <f>HYPERLINK("http://141.218.60.56/~jnz1568/getInfo.php?workbook=11_01.xlsx&amp;sheet=A0&amp;row=225&amp;col=17&amp;number=0&amp;sourceID=12","0")</f>
        <v>0</v>
      </c>
      <c r="R225" s="4" t="str">
        <f>HYPERLINK("http://141.218.60.56/~jnz1568/getInfo.php?workbook=11_01.xlsx&amp;sheet=A0&amp;row=225&amp;col=18&amp;number=&amp;sourceID=12","")</f>
        <v/>
      </c>
      <c r="S225" s="4" t="str">
        <f>HYPERLINK("http://141.218.60.56/~jnz1568/getInfo.php?workbook=11_01.xlsx&amp;sheet=A0&amp;row=225&amp;col=19&amp;number=2e-15&amp;sourceID=12","2e-15")</f>
        <v>2e-15</v>
      </c>
      <c r="T225" s="4" t="str">
        <f>HYPERLINK("http://141.218.60.56/~jnz1568/getInfo.php?workbook=11_01.xlsx&amp;sheet=A0&amp;row=225&amp;col=20&amp;number=&amp;sourceID=12","")</f>
        <v/>
      </c>
      <c r="U225" s="4" t="str">
        <f>HYPERLINK("http://141.218.60.56/~jnz1568/getInfo.php?workbook=11_01.xlsx&amp;sheet=A0&amp;row=225&amp;col=21&amp;number=11.78&amp;sourceID=30","11.78")</f>
        <v>11.78</v>
      </c>
      <c r="V225" s="4" t="str">
        <f>HYPERLINK("http://141.218.60.56/~jnz1568/getInfo.php?workbook=11_01.xlsx&amp;sheet=A0&amp;row=225&amp;col=22&amp;number=11.78&amp;sourceID=30","11.78")</f>
        <v>11.78</v>
      </c>
      <c r="W225" s="4" t="str">
        <f>HYPERLINK("http://141.218.60.56/~jnz1568/getInfo.php?workbook=11_01.xlsx&amp;sheet=A0&amp;row=225&amp;col=23&amp;number=&amp;sourceID=30","")</f>
        <v/>
      </c>
      <c r="X225" s="4" t="str">
        <f>HYPERLINK("http://141.218.60.56/~jnz1568/getInfo.php?workbook=11_01.xlsx&amp;sheet=A0&amp;row=225&amp;col=24&amp;number=&amp;sourceID=30","")</f>
        <v/>
      </c>
      <c r="Y225" s="4" t="str">
        <f>HYPERLINK("http://141.218.60.56/~jnz1568/getInfo.php?workbook=11_01.xlsx&amp;sheet=A0&amp;row=225&amp;col=25&amp;number=2e-15&amp;sourceID=30","2e-15")</f>
        <v>2e-15</v>
      </c>
      <c r="Z225" s="4" t="str">
        <f>HYPERLINK("http://141.218.60.56/~jnz1568/getInfo.php?workbook=11_01.xlsx&amp;sheet=A0&amp;row=225&amp;col=26&amp;number=&amp;sourceID=13","")</f>
        <v/>
      </c>
      <c r="AA225" s="4" t="str">
        <f>HYPERLINK("http://141.218.60.56/~jnz1568/getInfo.php?workbook=11_01.xlsx&amp;sheet=A0&amp;row=225&amp;col=27&amp;number=&amp;sourceID=13","")</f>
        <v/>
      </c>
      <c r="AB225" s="4" t="str">
        <f>HYPERLINK("http://141.218.60.56/~jnz1568/getInfo.php?workbook=11_01.xlsx&amp;sheet=A0&amp;row=225&amp;col=28&amp;number=&amp;sourceID=13","")</f>
        <v/>
      </c>
      <c r="AC225" s="4" t="str">
        <f>HYPERLINK("http://141.218.60.56/~jnz1568/getInfo.php?workbook=11_01.xlsx&amp;sheet=A0&amp;row=225&amp;col=29&amp;number=&amp;sourceID=13","")</f>
        <v/>
      </c>
      <c r="AD225" s="4" t="str">
        <f>HYPERLINK("http://141.218.60.56/~jnz1568/getInfo.php?workbook=11_01.xlsx&amp;sheet=A0&amp;row=225&amp;col=30&amp;number=&amp;sourceID=13","")</f>
        <v/>
      </c>
      <c r="AE225" s="4" t="str">
        <f>HYPERLINK("http://141.218.60.56/~jnz1568/getInfo.php?workbook=11_01.xlsx&amp;sheet=A0&amp;row=225&amp;col=31&amp;number=&amp;sourceID=13","")</f>
        <v/>
      </c>
    </row>
    <row r="226" spans="1:31">
      <c r="A226" s="3">
        <v>11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HYPERLINK("http://141.218.60.56/~jnz1568/getInfo.php?workbook=11_01.xlsx&amp;sheet=A0&amp;row=226&amp;col=6&amp;number=&amp;sourceID=18","")</f>
        <v/>
      </c>
      <c r="G226" s="4" t="str">
        <f>HYPERLINK("http://141.218.60.56/~jnz1568/getInfo.php?workbook=11_01.xlsx&amp;sheet=A0&amp;row=226&amp;col=7&amp;number==&amp;sourceID=11","=")</f>
        <v>=</v>
      </c>
      <c r="H226" s="4" t="str">
        <f>HYPERLINK("http://141.218.60.56/~jnz1568/getInfo.php?workbook=11_01.xlsx&amp;sheet=A0&amp;row=226&amp;col=8&amp;number=&amp;sourceID=11","")</f>
        <v/>
      </c>
      <c r="I226" s="4" t="str">
        <f>HYPERLINK("http://141.218.60.56/~jnz1568/getInfo.php?workbook=11_01.xlsx&amp;sheet=A0&amp;row=226&amp;col=9&amp;number=&amp;sourceID=11","")</f>
        <v/>
      </c>
      <c r="J226" s="4" t="str">
        <f>HYPERLINK("http://141.218.60.56/~jnz1568/getInfo.php?workbook=11_01.xlsx&amp;sheet=A0&amp;row=226&amp;col=10&amp;number=&amp;sourceID=11","")</f>
        <v/>
      </c>
      <c r="K226" s="4" t="str">
        <f>HYPERLINK("http://141.218.60.56/~jnz1568/getInfo.php?workbook=11_01.xlsx&amp;sheet=A0&amp;row=226&amp;col=11&amp;number=&amp;sourceID=11","")</f>
        <v/>
      </c>
      <c r="L226" s="4" t="str">
        <f>HYPERLINK("http://141.218.60.56/~jnz1568/getInfo.php?workbook=11_01.xlsx&amp;sheet=A0&amp;row=226&amp;col=12&amp;number=&amp;sourceID=11","")</f>
        <v/>
      </c>
      <c r="M226" s="4" t="str">
        <f>HYPERLINK("http://141.218.60.56/~jnz1568/getInfo.php?workbook=11_01.xlsx&amp;sheet=A0&amp;row=226&amp;col=13&amp;number=1.11e-07&amp;sourceID=11","1.11e-07")</f>
        <v>1.11e-07</v>
      </c>
      <c r="N226" s="4" t="str">
        <f>HYPERLINK("http://141.218.60.56/~jnz1568/getInfo.php?workbook=11_01.xlsx&amp;sheet=A0&amp;row=226&amp;col=14&amp;number=9.6888e-08&amp;sourceID=12","9.6888e-08")</f>
        <v>9.6888e-08</v>
      </c>
      <c r="O226" s="4" t="str">
        <f>HYPERLINK("http://141.218.60.56/~jnz1568/getInfo.php?workbook=11_01.xlsx&amp;sheet=A0&amp;row=226&amp;col=15&amp;number=&amp;sourceID=12","")</f>
        <v/>
      </c>
      <c r="P226" s="4" t="str">
        <f>HYPERLINK("http://141.218.60.56/~jnz1568/getInfo.php?workbook=11_01.xlsx&amp;sheet=A0&amp;row=226&amp;col=16&amp;number=&amp;sourceID=12","")</f>
        <v/>
      </c>
      <c r="Q226" s="4" t="str">
        <f>HYPERLINK("http://141.218.60.56/~jnz1568/getInfo.php?workbook=11_01.xlsx&amp;sheet=A0&amp;row=226&amp;col=17&amp;number=&amp;sourceID=12","")</f>
        <v/>
      </c>
      <c r="R226" s="4" t="str">
        <f>HYPERLINK("http://141.218.60.56/~jnz1568/getInfo.php?workbook=11_01.xlsx&amp;sheet=A0&amp;row=226&amp;col=18&amp;number=&amp;sourceID=12","")</f>
        <v/>
      </c>
      <c r="S226" s="4" t="str">
        <f>HYPERLINK("http://141.218.60.56/~jnz1568/getInfo.php?workbook=11_01.xlsx&amp;sheet=A0&amp;row=226&amp;col=19&amp;number=&amp;sourceID=12","")</f>
        <v/>
      </c>
      <c r="T226" s="4" t="str">
        <f>HYPERLINK("http://141.218.60.56/~jnz1568/getInfo.php?workbook=11_01.xlsx&amp;sheet=A0&amp;row=226&amp;col=20&amp;number=9.6888e-08&amp;sourceID=12","9.6888e-08")</f>
        <v>9.6888e-08</v>
      </c>
      <c r="U226" s="4" t="str">
        <f>HYPERLINK("http://141.218.60.56/~jnz1568/getInfo.php?workbook=11_01.xlsx&amp;sheet=A0&amp;row=226&amp;col=21&amp;number=&amp;sourceID=30","")</f>
        <v/>
      </c>
      <c r="V226" s="4" t="str">
        <f>HYPERLINK("http://141.218.60.56/~jnz1568/getInfo.php?workbook=11_01.xlsx&amp;sheet=A0&amp;row=226&amp;col=22&amp;number=&amp;sourceID=30","")</f>
        <v/>
      </c>
      <c r="W226" s="4" t="str">
        <f>HYPERLINK("http://141.218.60.56/~jnz1568/getInfo.php?workbook=11_01.xlsx&amp;sheet=A0&amp;row=226&amp;col=23&amp;number=&amp;sourceID=30","")</f>
        <v/>
      </c>
      <c r="X226" s="4" t="str">
        <f>HYPERLINK("http://141.218.60.56/~jnz1568/getInfo.php?workbook=11_01.xlsx&amp;sheet=A0&amp;row=226&amp;col=24&amp;number=&amp;sourceID=30","")</f>
        <v/>
      </c>
      <c r="Y226" s="4" t="str">
        <f>HYPERLINK("http://141.218.60.56/~jnz1568/getInfo.php?workbook=11_01.xlsx&amp;sheet=A0&amp;row=226&amp;col=25&amp;number=&amp;sourceID=30","")</f>
        <v/>
      </c>
      <c r="Z226" s="4" t="str">
        <f>HYPERLINK("http://141.218.60.56/~jnz1568/getInfo.php?workbook=11_01.xlsx&amp;sheet=A0&amp;row=226&amp;col=26&amp;number=&amp;sourceID=13","")</f>
        <v/>
      </c>
      <c r="AA226" s="4" t="str">
        <f>HYPERLINK("http://141.218.60.56/~jnz1568/getInfo.php?workbook=11_01.xlsx&amp;sheet=A0&amp;row=226&amp;col=27&amp;number=&amp;sourceID=13","")</f>
        <v/>
      </c>
      <c r="AB226" s="4" t="str">
        <f>HYPERLINK("http://141.218.60.56/~jnz1568/getInfo.php?workbook=11_01.xlsx&amp;sheet=A0&amp;row=226&amp;col=28&amp;number=&amp;sourceID=13","")</f>
        <v/>
      </c>
      <c r="AC226" s="4" t="str">
        <f>HYPERLINK("http://141.218.60.56/~jnz1568/getInfo.php?workbook=11_01.xlsx&amp;sheet=A0&amp;row=226&amp;col=29&amp;number=&amp;sourceID=13","")</f>
        <v/>
      </c>
      <c r="AD226" s="4" t="str">
        <f>HYPERLINK("http://141.218.60.56/~jnz1568/getInfo.php?workbook=11_01.xlsx&amp;sheet=A0&amp;row=226&amp;col=30&amp;number=&amp;sourceID=13","")</f>
        <v/>
      </c>
      <c r="AE226" s="4" t="str">
        <f>HYPERLINK("http://141.218.60.56/~jnz1568/getInfo.php?workbook=11_01.xlsx&amp;sheet=A0&amp;row=226&amp;col=31&amp;number=&amp;sourceID=13","")</f>
        <v/>
      </c>
    </row>
    <row r="227" spans="1:31">
      <c r="A227" s="3">
        <v>11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HYPERLINK("http://141.218.60.56/~jnz1568/getInfo.php?workbook=11_01.xlsx&amp;sheet=A0&amp;row=227&amp;col=6&amp;number=&amp;sourceID=18","")</f>
        <v/>
      </c>
      <c r="G227" s="4" t="str">
        <f>HYPERLINK("http://141.218.60.56/~jnz1568/getInfo.php?workbook=11_01.xlsx&amp;sheet=A0&amp;row=227&amp;col=7&amp;number==&amp;sourceID=11","=")</f>
        <v>=</v>
      </c>
      <c r="H227" s="4" t="str">
        <f>HYPERLINK("http://141.218.60.56/~jnz1568/getInfo.php?workbook=11_01.xlsx&amp;sheet=A0&amp;row=227&amp;col=8&amp;number=&amp;sourceID=11","")</f>
        <v/>
      </c>
      <c r="I227" s="4" t="str">
        <f>HYPERLINK("http://141.218.60.56/~jnz1568/getInfo.php?workbook=11_01.xlsx&amp;sheet=A0&amp;row=227&amp;col=9&amp;number=&amp;sourceID=11","")</f>
        <v/>
      </c>
      <c r="J227" s="4" t="str">
        <f>HYPERLINK("http://141.218.60.56/~jnz1568/getInfo.php?workbook=11_01.xlsx&amp;sheet=A0&amp;row=227&amp;col=10&amp;number=5377.5&amp;sourceID=11","5377.5")</f>
        <v>5377.5</v>
      </c>
      <c r="K227" s="4" t="str">
        <f>HYPERLINK("http://141.218.60.56/~jnz1568/getInfo.php?workbook=11_01.xlsx&amp;sheet=A0&amp;row=227&amp;col=11&amp;number=&amp;sourceID=11","")</f>
        <v/>
      </c>
      <c r="L227" s="4" t="str">
        <f>HYPERLINK("http://141.218.60.56/~jnz1568/getInfo.php?workbook=11_01.xlsx&amp;sheet=A0&amp;row=227&amp;col=12&amp;number=&amp;sourceID=11","")</f>
        <v/>
      </c>
      <c r="M227" s="4" t="str">
        <f>HYPERLINK("http://141.218.60.56/~jnz1568/getInfo.php?workbook=11_01.xlsx&amp;sheet=A0&amp;row=227&amp;col=13&amp;number=&amp;sourceID=11","")</f>
        <v/>
      </c>
      <c r="N227" s="4" t="str">
        <f>HYPERLINK("http://141.218.60.56/~jnz1568/getInfo.php?workbook=11_01.xlsx&amp;sheet=A0&amp;row=227&amp;col=14&amp;number=5377.6&amp;sourceID=12","5377.6")</f>
        <v>5377.6</v>
      </c>
      <c r="O227" s="4" t="str">
        <f>HYPERLINK("http://141.218.60.56/~jnz1568/getInfo.php?workbook=11_01.xlsx&amp;sheet=A0&amp;row=227&amp;col=15&amp;number=&amp;sourceID=12","")</f>
        <v/>
      </c>
      <c r="P227" s="4" t="str">
        <f>HYPERLINK("http://141.218.60.56/~jnz1568/getInfo.php?workbook=11_01.xlsx&amp;sheet=A0&amp;row=227&amp;col=16&amp;number=&amp;sourceID=12","")</f>
        <v/>
      </c>
      <c r="Q227" s="4" t="str">
        <f>HYPERLINK("http://141.218.60.56/~jnz1568/getInfo.php?workbook=11_01.xlsx&amp;sheet=A0&amp;row=227&amp;col=17&amp;number=5377.6&amp;sourceID=12","5377.6")</f>
        <v>5377.6</v>
      </c>
      <c r="R227" s="4" t="str">
        <f>HYPERLINK("http://141.218.60.56/~jnz1568/getInfo.php?workbook=11_01.xlsx&amp;sheet=A0&amp;row=227&amp;col=18&amp;number=&amp;sourceID=12","")</f>
        <v/>
      </c>
      <c r="S227" s="4" t="str">
        <f>HYPERLINK("http://141.218.60.56/~jnz1568/getInfo.php?workbook=11_01.xlsx&amp;sheet=A0&amp;row=227&amp;col=19&amp;number=&amp;sourceID=12","")</f>
        <v/>
      </c>
      <c r="T227" s="4" t="str">
        <f>HYPERLINK("http://141.218.60.56/~jnz1568/getInfo.php?workbook=11_01.xlsx&amp;sheet=A0&amp;row=227&amp;col=20&amp;number=&amp;sourceID=12","")</f>
        <v/>
      </c>
      <c r="U227" s="4" t="str">
        <f>HYPERLINK("http://141.218.60.56/~jnz1568/getInfo.php?workbook=11_01.xlsx&amp;sheet=A0&amp;row=227&amp;col=21&amp;number=&amp;sourceID=30","")</f>
        <v/>
      </c>
      <c r="V227" s="4" t="str">
        <f>HYPERLINK("http://141.218.60.56/~jnz1568/getInfo.php?workbook=11_01.xlsx&amp;sheet=A0&amp;row=227&amp;col=22&amp;number=&amp;sourceID=30","")</f>
        <v/>
      </c>
      <c r="W227" s="4" t="str">
        <f>HYPERLINK("http://141.218.60.56/~jnz1568/getInfo.php?workbook=11_01.xlsx&amp;sheet=A0&amp;row=227&amp;col=23&amp;number=&amp;sourceID=30","")</f>
        <v/>
      </c>
      <c r="X227" s="4" t="str">
        <f>HYPERLINK("http://141.218.60.56/~jnz1568/getInfo.php?workbook=11_01.xlsx&amp;sheet=A0&amp;row=227&amp;col=24&amp;number=&amp;sourceID=30","")</f>
        <v/>
      </c>
      <c r="Y227" s="4" t="str">
        <f>HYPERLINK("http://141.218.60.56/~jnz1568/getInfo.php?workbook=11_01.xlsx&amp;sheet=A0&amp;row=227&amp;col=25&amp;number=&amp;sourceID=30","")</f>
        <v/>
      </c>
      <c r="Z227" s="4" t="str">
        <f>HYPERLINK("http://141.218.60.56/~jnz1568/getInfo.php?workbook=11_01.xlsx&amp;sheet=A0&amp;row=227&amp;col=26&amp;number=&amp;sourceID=13","")</f>
        <v/>
      </c>
      <c r="AA227" s="4" t="str">
        <f>HYPERLINK("http://141.218.60.56/~jnz1568/getInfo.php?workbook=11_01.xlsx&amp;sheet=A0&amp;row=227&amp;col=27&amp;number=&amp;sourceID=13","")</f>
        <v/>
      </c>
      <c r="AB227" s="4" t="str">
        <f>HYPERLINK("http://141.218.60.56/~jnz1568/getInfo.php?workbook=11_01.xlsx&amp;sheet=A0&amp;row=227&amp;col=28&amp;number=&amp;sourceID=13","")</f>
        <v/>
      </c>
      <c r="AC227" s="4" t="str">
        <f>HYPERLINK("http://141.218.60.56/~jnz1568/getInfo.php?workbook=11_01.xlsx&amp;sheet=A0&amp;row=227&amp;col=29&amp;number=&amp;sourceID=13","")</f>
        <v/>
      </c>
      <c r="AD227" s="4" t="str">
        <f>HYPERLINK("http://141.218.60.56/~jnz1568/getInfo.php?workbook=11_01.xlsx&amp;sheet=A0&amp;row=227&amp;col=30&amp;number=&amp;sourceID=13","")</f>
        <v/>
      </c>
      <c r="AE227" s="4" t="str">
        <f>HYPERLINK("http://141.218.60.56/~jnz1568/getInfo.php?workbook=11_01.xlsx&amp;sheet=A0&amp;row=227&amp;col=31&amp;number=&amp;sourceID=13","")</f>
        <v/>
      </c>
    </row>
    <row r="228" spans="1:31">
      <c r="A228" s="3">
        <v>11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HYPERLINK("http://141.218.60.56/~jnz1568/getInfo.php?workbook=11_01.xlsx&amp;sheet=A0&amp;row=228&amp;col=6&amp;number=&amp;sourceID=18","")</f>
        <v/>
      </c>
      <c r="G228" s="4" t="str">
        <f>HYPERLINK("http://141.218.60.56/~jnz1568/getInfo.php?workbook=11_01.xlsx&amp;sheet=A0&amp;row=228&amp;col=7&amp;number==&amp;sourceID=11","=")</f>
        <v>=</v>
      </c>
      <c r="H228" s="4" t="str">
        <f>HYPERLINK("http://141.218.60.56/~jnz1568/getInfo.php?workbook=11_01.xlsx&amp;sheet=A0&amp;row=228&amp;col=8&amp;number=&amp;sourceID=11","")</f>
        <v/>
      </c>
      <c r="I228" s="4" t="str">
        <f>HYPERLINK("http://141.218.60.56/~jnz1568/getInfo.php?workbook=11_01.xlsx&amp;sheet=A0&amp;row=228&amp;col=9&amp;number=&amp;sourceID=11","")</f>
        <v/>
      </c>
      <c r="J228" s="4" t="str">
        <f>HYPERLINK("http://141.218.60.56/~jnz1568/getInfo.php?workbook=11_01.xlsx&amp;sheet=A0&amp;row=228&amp;col=10&amp;number=&amp;sourceID=11","")</f>
        <v/>
      </c>
      <c r="K228" s="4" t="str">
        <f>HYPERLINK("http://141.218.60.56/~jnz1568/getInfo.php?workbook=11_01.xlsx&amp;sheet=A0&amp;row=228&amp;col=11&amp;number=&amp;sourceID=11","")</f>
        <v/>
      </c>
      <c r="L228" s="4" t="str">
        <f>HYPERLINK("http://141.218.60.56/~jnz1568/getInfo.php?workbook=11_01.xlsx&amp;sheet=A0&amp;row=228&amp;col=12&amp;number=&amp;sourceID=11","")</f>
        <v/>
      </c>
      <c r="M228" s="4" t="str">
        <f>HYPERLINK("http://141.218.60.56/~jnz1568/getInfo.php?workbook=11_01.xlsx&amp;sheet=A0&amp;row=228&amp;col=13&amp;number=1.1544e-08&amp;sourceID=11","1.1544e-08")</f>
        <v>1.1544e-08</v>
      </c>
      <c r="N228" s="4" t="str">
        <f>HYPERLINK("http://141.218.60.56/~jnz1568/getInfo.php?workbook=11_01.xlsx&amp;sheet=A0&amp;row=228&amp;col=14&amp;number=1.14e-08&amp;sourceID=12","1.14e-08")</f>
        <v>1.14e-08</v>
      </c>
      <c r="O228" s="4" t="str">
        <f>HYPERLINK("http://141.218.60.56/~jnz1568/getInfo.php?workbook=11_01.xlsx&amp;sheet=A0&amp;row=228&amp;col=15&amp;number=&amp;sourceID=12","")</f>
        <v/>
      </c>
      <c r="P228" s="4" t="str">
        <f>HYPERLINK("http://141.218.60.56/~jnz1568/getInfo.php?workbook=11_01.xlsx&amp;sheet=A0&amp;row=228&amp;col=16&amp;number=&amp;sourceID=12","")</f>
        <v/>
      </c>
      <c r="Q228" s="4" t="str">
        <f>HYPERLINK("http://141.218.60.56/~jnz1568/getInfo.php?workbook=11_01.xlsx&amp;sheet=A0&amp;row=228&amp;col=17&amp;number=&amp;sourceID=12","")</f>
        <v/>
      </c>
      <c r="R228" s="4" t="str">
        <f>HYPERLINK("http://141.218.60.56/~jnz1568/getInfo.php?workbook=11_01.xlsx&amp;sheet=A0&amp;row=228&amp;col=18&amp;number=&amp;sourceID=12","")</f>
        <v/>
      </c>
      <c r="S228" s="4" t="str">
        <f>HYPERLINK("http://141.218.60.56/~jnz1568/getInfo.php?workbook=11_01.xlsx&amp;sheet=A0&amp;row=228&amp;col=19&amp;number=&amp;sourceID=12","")</f>
        <v/>
      </c>
      <c r="T228" s="4" t="str">
        <f>HYPERLINK("http://141.218.60.56/~jnz1568/getInfo.php?workbook=11_01.xlsx&amp;sheet=A0&amp;row=228&amp;col=20&amp;number=1.14e-08&amp;sourceID=12","1.14e-08")</f>
        <v>1.14e-08</v>
      </c>
      <c r="U228" s="4" t="str">
        <f>HYPERLINK("http://141.218.60.56/~jnz1568/getInfo.php?workbook=11_01.xlsx&amp;sheet=A0&amp;row=228&amp;col=21&amp;number=&amp;sourceID=30","")</f>
        <v/>
      </c>
      <c r="V228" s="4" t="str">
        <f>HYPERLINK("http://141.218.60.56/~jnz1568/getInfo.php?workbook=11_01.xlsx&amp;sheet=A0&amp;row=228&amp;col=22&amp;number=&amp;sourceID=30","")</f>
        <v/>
      </c>
      <c r="W228" s="4" t="str">
        <f>HYPERLINK("http://141.218.60.56/~jnz1568/getInfo.php?workbook=11_01.xlsx&amp;sheet=A0&amp;row=228&amp;col=23&amp;number=&amp;sourceID=30","")</f>
        <v/>
      </c>
      <c r="X228" s="4" t="str">
        <f>HYPERLINK("http://141.218.60.56/~jnz1568/getInfo.php?workbook=11_01.xlsx&amp;sheet=A0&amp;row=228&amp;col=24&amp;number=&amp;sourceID=30","")</f>
        <v/>
      </c>
      <c r="Y228" s="4" t="str">
        <f>HYPERLINK("http://141.218.60.56/~jnz1568/getInfo.php?workbook=11_01.xlsx&amp;sheet=A0&amp;row=228&amp;col=25&amp;number=&amp;sourceID=30","")</f>
        <v/>
      </c>
      <c r="Z228" s="4" t="str">
        <f>HYPERLINK("http://141.218.60.56/~jnz1568/getInfo.php?workbook=11_01.xlsx&amp;sheet=A0&amp;row=228&amp;col=26&amp;number=&amp;sourceID=13","")</f>
        <v/>
      </c>
      <c r="AA228" s="4" t="str">
        <f>HYPERLINK("http://141.218.60.56/~jnz1568/getInfo.php?workbook=11_01.xlsx&amp;sheet=A0&amp;row=228&amp;col=27&amp;number=&amp;sourceID=13","")</f>
        <v/>
      </c>
      <c r="AB228" s="4" t="str">
        <f>HYPERLINK("http://141.218.60.56/~jnz1568/getInfo.php?workbook=11_01.xlsx&amp;sheet=A0&amp;row=228&amp;col=28&amp;number=&amp;sourceID=13","")</f>
        <v/>
      </c>
      <c r="AC228" s="4" t="str">
        <f>HYPERLINK("http://141.218.60.56/~jnz1568/getInfo.php?workbook=11_01.xlsx&amp;sheet=A0&amp;row=228&amp;col=29&amp;number=&amp;sourceID=13","")</f>
        <v/>
      </c>
      <c r="AD228" s="4" t="str">
        <f>HYPERLINK("http://141.218.60.56/~jnz1568/getInfo.php?workbook=11_01.xlsx&amp;sheet=A0&amp;row=228&amp;col=30&amp;number=&amp;sourceID=13","")</f>
        <v/>
      </c>
      <c r="AE228" s="4" t="str">
        <f>HYPERLINK("http://141.218.60.56/~jnz1568/getInfo.php?workbook=11_01.xlsx&amp;sheet=A0&amp;row=228&amp;col=31&amp;number=&amp;sourceID=13","")</f>
        <v/>
      </c>
    </row>
    <row r="229" spans="1:31">
      <c r="A229" s="3">
        <v>11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HYPERLINK("http://141.218.60.56/~jnz1568/getInfo.php?workbook=11_01.xlsx&amp;sheet=A0&amp;row=229&amp;col=6&amp;number=&amp;sourceID=18","")</f>
        <v/>
      </c>
      <c r="G229" s="4" t="str">
        <f>HYPERLINK("http://141.218.60.56/~jnz1568/getInfo.php?workbook=11_01.xlsx&amp;sheet=A0&amp;row=229&amp;col=7&amp;number==&amp;sourceID=11","=")</f>
        <v>=</v>
      </c>
      <c r="H229" s="4" t="str">
        <f>HYPERLINK("http://141.218.60.56/~jnz1568/getInfo.php?workbook=11_01.xlsx&amp;sheet=A0&amp;row=229&amp;col=8&amp;number=&amp;sourceID=11","")</f>
        <v/>
      </c>
      <c r="I229" s="4" t="str">
        <f>HYPERLINK("http://141.218.60.56/~jnz1568/getInfo.php?workbook=11_01.xlsx&amp;sheet=A0&amp;row=229&amp;col=9&amp;number=&amp;sourceID=11","")</f>
        <v/>
      </c>
      <c r="J229" s="4" t="str">
        <f>HYPERLINK("http://141.218.60.56/~jnz1568/getInfo.php?workbook=11_01.xlsx&amp;sheet=A0&amp;row=229&amp;col=10&amp;number=1794.3&amp;sourceID=11","1794.3")</f>
        <v>1794.3</v>
      </c>
      <c r="K229" s="4" t="str">
        <f>HYPERLINK("http://141.218.60.56/~jnz1568/getInfo.php?workbook=11_01.xlsx&amp;sheet=A0&amp;row=229&amp;col=11&amp;number=&amp;sourceID=11","")</f>
        <v/>
      </c>
      <c r="L229" s="4" t="str">
        <f>HYPERLINK("http://141.218.60.56/~jnz1568/getInfo.php?workbook=11_01.xlsx&amp;sheet=A0&amp;row=229&amp;col=12&amp;number=4.0057e-05&amp;sourceID=11","4.0057e-05")</f>
        <v>4.0057e-05</v>
      </c>
      <c r="M229" s="4" t="str">
        <f>HYPERLINK("http://141.218.60.56/~jnz1568/getInfo.php?workbook=11_01.xlsx&amp;sheet=A0&amp;row=229&amp;col=13&amp;number=&amp;sourceID=11","")</f>
        <v/>
      </c>
      <c r="N229" s="4" t="str">
        <f>HYPERLINK("http://141.218.60.56/~jnz1568/getInfo.php?workbook=11_01.xlsx&amp;sheet=A0&amp;row=229&amp;col=14&amp;number=1794.3&amp;sourceID=12","1794.3")</f>
        <v>1794.3</v>
      </c>
      <c r="O229" s="4" t="str">
        <f>HYPERLINK("http://141.218.60.56/~jnz1568/getInfo.php?workbook=11_01.xlsx&amp;sheet=A0&amp;row=229&amp;col=15&amp;number=&amp;sourceID=12","")</f>
        <v/>
      </c>
      <c r="P229" s="4" t="str">
        <f>HYPERLINK("http://141.218.60.56/~jnz1568/getInfo.php?workbook=11_01.xlsx&amp;sheet=A0&amp;row=229&amp;col=16&amp;number=&amp;sourceID=12","")</f>
        <v/>
      </c>
      <c r="Q229" s="4" t="str">
        <f>HYPERLINK("http://141.218.60.56/~jnz1568/getInfo.php?workbook=11_01.xlsx&amp;sheet=A0&amp;row=229&amp;col=17&amp;number=1794.3&amp;sourceID=12","1794.3")</f>
        <v>1794.3</v>
      </c>
      <c r="R229" s="4" t="str">
        <f>HYPERLINK("http://141.218.60.56/~jnz1568/getInfo.php?workbook=11_01.xlsx&amp;sheet=A0&amp;row=229&amp;col=18&amp;number=&amp;sourceID=12","")</f>
        <v/>
      </c>
      <c r="S229" s="4" t="str">
        <f>HYPERLINK("http://141.218.60.56/~jnz1568/getInfo.php?workbook=11_01.xlsx&amp;sheet=A0&amp;row=229&amp;col=19&amp;number=3.9968e-05&amp;sourceID=12","3.9968e-05")</f>
        <v>3.9968e-05</v>
      </c>
      <c r="T229" s="4" t="str">
        <f>HYPERLINK("http://141.218.60.56/~jnz1568/getInfo.php?workbook=11_01.xlsx&amp;sheet=A0&amp;row=229&amp;col=20&amp;number=&amp;sourceID=12","")</f>
        <v/>
      </c>
      <c r="U229" s="4" t="str">
        <f>HYPERLINK("http://141.218.60.56/~jnz1568/getInfo.php?workbook=11_01.xlsx&amp;sheet=A0&amp;row=229&amp;col=21&amp;number=4.008e-05&amp;sourceID=30","4.008e-05")</f>
        <v>4.008e-05</v>
      </c>
      <c r="V229" s="4" t="str">
        <f>HYPERLINK("http://141.218.60.56/~jnz1568/getInfo.php?workbook=11_01.xlsx&amp;sheet=A0&amp;row=229&amp;col=22&amp;number=&amp;sourceID=30","")</f>
        <v/>
      </c>
      <c r="W229" s="4" t="str">
        <f>HYPERLINK("http://141.218.60.56/~jnz1568/getInfo.php?workbook=11_01.xlsx&amp;sheet=A0&amp;row=229&amp;col=23&amp;number=&amp;sourceID=30","")</f>
        <v/>
      </c>
      <c r="X229" s="4" t="str">
        <f>HYPERLINK("http://141.218.60.56/~jnz1568/getInfo.php?workbook=11_01.xlsx&amp;sheet=A0&amp;row=229&amp;col=24&amp;number=&amp;sourceID=30","")</f>
        <v/>
      </c>
      <c r="Y229" s="4" t="str">
        <f>HYPERLINK("http://141.218.60.56/~jnz1568/getInfo.php?workbook=11_01.xlsx&amp;sheet=A0&amp;row=229&amp;col=25&amp;number=4.008e-05&amp;sourceID=30","4.008e-05")</f>
        <v>4.008e-05</v>
      </c>
      <c r="Z229" s="4" t="str">
        <f>HYPERLINK("http://141.218.60.56/~jnz1568/getInfo.php?workbook=11_01.xlsx&amp;sheet=A0&amp;row=229&amp;col=26&amp;number=&amp;sourceID=13","")</f>
        <v/>
      </c>
      <c r="AA229" s="4" t="str">
        <f>HYPERLINK("http://141.218.60.56/~jnz1568/getInfo.php?workbook=11_01.xlsx&amp;sheet=A0&amp;row=229&amp;col=27&amp;number=&amp;sourceID=13","")</f>
        <v/>
      </c>
      <c r="AB229" s="4" t="str">
        <f>HYPERLINK("http://141.218.60.56/~jnz1568/getInfo.php?workbook=11_01.xlsx&amp;sheet=A0&amp;row=229&amp;col=28&amp;number=&amp;sourceID=13","")</f>
        <v/>
      </c>
      <c r="AC229" s="4" t="str">
        <f>HYPERLINK("http://141.218.60.56/~jnz1568/getInfo.php?workbook=11_01.xlsx&amp;sheet=A0&amp;row=229&amp;col=29&amp;number=&amp;sourceID=13","")</f>
        <v/>
      </c>
      <c r="AD229" s="4" t="str">
        <f>HYPERLINK("http://141.218.60.56/~jnz1568/getInfo.php?workbook=11_01.xlsx&amp;sheet=A0&amp;row=229&amp;col=30&amp;number=&amp;sourceID=13","")</f>
        <v/>
      </c>
      <c r="AE229" s="4" t="str">
        <f>HYPERLINK("http://141.218.60.56/~jnz1568/getInfo.php?workbook=11_01.xlsx&amp;sheet=A0&amp;row=229&amp;col=31&amp;number=&amp;sourceID=13","")</f>
        <v/>
      </c>
    </row>
    <row r="230" spans="1:31">
      <c r="A230" s="3">
        <v>11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HYPERLINK("http://141.218.60.56/~jnz1568/getInfo.php?workbook=11_01.xlsx&amp;sheet=A0&amp;row=230&amp;col=6&amp;number=&amp;sourceID=18","")</f>
        <v/>
      </c>
      <c r="G230" s="4" t="str">
        <f>HYPERLINK("http://141.218.60.56/~jnz1568/getInfo.php?workbook=11_01.xlsx&amp;sheet=A0&amp;row=230&amp;col=7&amp;number==&amp;sourceID=11","=")</f>
        <v>=</v>
      </c>
      <c r="H230" s="4" t="str">
        <f>HYPERLINK("http://141.218.60.56/~jnz1568/getInfo.php?workbook=11_01.xlsx&amp;sheet=A0&amp;row=230&amp;col=8&amp;number=&amp;sourceID=11","")</f>
        <v/>
      </c>
      <c r="I230" s="4" t="str">
        <f>HYPERLINK("http://141.218.60.56/~jnz1568/getInfo.php?workbook=11_01.xlsx&amp;sheet=A0&amp;row=230&amp;col=9&amp;number=&amp;sourceID=11","")</f>
        <v/>
      </c>
      <c r="J230" s="4" t="str">
        <f>HYPERLINK("http://141.218.60.56/~jnz1568/getInfo.php?workbook=11_01.xlsx&amp;sheet=A0&amp;row=230&amp;col=10&amp;number=2288.4&amp;sourceID=11","2288.4")</f>
        <v>2288.4</v>
      </c>
      <c r="K230" s="4" t="str">
        <f>HYPERLINK("http://141.218.60.56/~jnz1568/getInfo.php?workbook=11_01.xlsx&amp;sheet=A0&amp;row=230&amp;col=11&amp;number=&amp;sourceID=11","")</f>
        <v/>
      </c>
      <c r="L230" s="4" t="str">
        <f>HYPERLINK("http://141.218.60.56/~jnz1568/getInfo.php?workbook=11_01.xlsx&amp;sheet=A0&amp;row=230&amp;col=12&amp;number=&amp;sourceID=11","")</f>
        <v/>
      </c>
      <c r="M230" s="4" t="str">
        <f>HYPERLINK("http://141.218.60.56/~jnz1568/getInfo.php?workbook=11_01.xlsx&amp;sheet=A0&amp;row=230&amp;col=13&amp;number=&amp;sourceID=11","")</f>
        <v/>
      </c>
      <c r="N230" s="4" t="str">
        <f>HYPERLINK("http://141.218.60.56/~jnz1568/getInfo.php?workbook=11_01.xlsx&amp;sheet=A0&amp;row=230&amp;col=14&amp;number=2288.4&amp;sourceID=12","2288.4")</f>
        <v>2288.4</v>
      </c>
      <c r="O230" s="4" t="str">
        <f>HYPERLINK("http://141.218.60.56/~jnz1568/getInfo.php?workbook=11_01.xlsx&amp;sheet=A0&amp;row=230&amp;col=15&amp;number=&amp;sourceID=12","")</f>
        <v/>
      </c>
      <c r="P230" s="4" t="str">
        <f>HYPERLINK("http://141.218.60.56/~jnz1568/getInfo.php?workbook=11_01.xlsx&amp;sheet=A0&amp;row=230&amp;col=16&amp;number=&amp;sourceID=12","")</f>
        <v/>
      </c>
      <c r="Q230" s="4" t="str">
        <f>HYPERLINK("http://141.218.60.56/~jnz1568/getInfo.php?workbook=11_01.xlsx&amp;sheet=A0&amp;row=230&amp;col=17&amp;number=2288.4&amp;sourceID=12","2288.4")</f>
        <v>2288.4</v>
      </c>
      <c r="R230" s="4" t="str">
        <f>HYPERLINK("http://141.218.60.56/~jnz1568/getInfo.php?workbook=11_01.xlsx&amp;sheet=A0&amp;row=230&amp;col=18&amp;number=&amp;sourceID=12","")</f>
        <v/>
      </c>
      <c r="S230" s="4" t="str">
        <f>HYPERLINK("http://141.218.60.56/~jnz1568/getInfo.php?workbook=11_01.xlsx&amp;sheet=A0&amp;row=230&amp;col=19&amp;number=&amp;sourceID=12","")</f>
        <v/>
      </c>
      <c r="T230" s="4" t="str">
        <f>HYPERLINK("http://141.218.60.56/~jnz1568/getInfo.php?workbook=11_01.xlsx&amp;sheet=A0&amp;row=230&amp;col=20&amp;number=&amp;sourceID=12","")</f>
        <v/>
      </c>
      <c r="U230" s="4" t="str">
        <f>HYPERLINK("http://141.218.60.56/~jnz1568/getInfo.php?workbook=11_01.xlsx&amp;sheet=A0&amp;row=230&amp;col=21&amp;number=&amp;sourceID=30","")</f>
        <v/>
      </c>
      <c r="V230" s="4" t="str">
        <f>HYPERLINK("http://141.218.60.56/~jnz1568/getInfo.php?workbook=11_01.xlsx&amp;sheet=A0&amp;row=230&amp;col=22&amp;number=&amp;sourceID=30","")</f>
        <v/>
      </c>
      <c r="W230" s="4" t="str">
        <f>HYPERLINK("http://141.218.60.56/~jnz1568/getInfo.php?workbook=11_01.xlsx&amp;sheet=A0&amp;row=230&amp;col=23&amp;number=&amp;sourceID=30","")</f>
        <v/>
      </c>
      <c r="X230" s="4" t="str">
        <f>HYPERLINK("http://141.218.60.56/~jnz1568/getInfo.php?workbook=11_01.xlsx&amp;sheet=A0&amp;row=230&amp;col=24&amp;number=&amp;sourceID=30","")</f>
        <v/>
      </c>
      <c r="Y230" s="4" t="str">
        <f>HYPERLINK("http://141.218.60.56/~jnz1568/getInfo.php?workbook=11_01.xlsx&amp;sheet=A0&amp;row=230&amp;col=25&amp;number=&amp;sourceID=30","")</f>
        <v/>
      </c>
      <c r="Z230" s="4" t="str">
        <f>HYPERLINK("http://141.218.60.56/~jnz1568/getInfo.php?workbook=11_01.xlsx&amp;sheet=A0&amp;row=230&amp;col=26&amp;number=&amp;sourceID=13","")</f>
        <v/>
      </c>
      <c r="AA230" s="4" t="str">
        <f>HYPERLINK("http://141.218.60.56/~jnz1568/getInfo.php?workbook=11_01.xlsx&amp;sheet=A0&amp;row=230&amp;col=27&amp;number=&amp;sourceID=13","")</f>
        <v/>
      </c>
      <c r="AB230" s="4" t="str">
        <f>HYPERLINK("http://141.218.60.56/~jnz1568/getInfo.php?workbook=11_01.xlsx&amp;sheet=A0&amp;row=230&amp;col=28&amp;number=&amp;sourceID=13","")</f>
        <v/>
      </c>
      <c r="AC230" s="4" t="str">
        <f>HYPERLINK("http://141.218.60.56/~jnz1568/getInfo.php?workbook=11_01.xlsx&amp;sheet=A0&amp;row=230&amp;col=29&amp;number=&amp;sourceID=13","")</f>
        <v/>
      </c>
      <c r="AD230" s="4" t="str">
        <f>HYPERLINK("http://141.218.60.56/~jnz1568/getInfo.php?workbook=11_01.xlsx&amp;sheet=A0&amp;row=230&amp;col=30&amp;number=&amp;sourceID=13","")</f>
        <v/>
      </c>
      <c r="AE230" s="4" t="str">
        <f>HYPERLINK("http://141.218.60.56/~jnz1568/getInfo.php?workbook=11_01.xlsx&amp;sheet=A0&amp;row=230&amp;col=31&amp;number=&amp;sourceID=13","")</f>
        <v/>
      </c>
    </row>
    <row r="231" spans="1:31">
      <c r="A231" s="3">
        <v>11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HYPERLINK("http://141.218.60.56/~jnz1568/getInfo.php?workbook=11_01.xlsx&amp;sheet=A0&amp;row=231&amp;col=6&amp;number=&amp;sourceID=18","")</f>
        <v/>
      </c>
      <c r="G231" s="4" t="str">
        <f>HYPERLINK("http://141.218.60.56/~jnz1568/getInfo.php?workbook=11_01.xlsx&amp;sheet=A0&amp;row=231&amp;col=7&amp;number==&amp;sourceID=11","=")</f>
        <v>=</v>
      </c>
      <c r="H231" s="4" t="str">
        <f>HYPERLINK("http://141.218.60.56/~jnz1568/getInfo.php?workbook=11_01.xlsx&amp;sheet=A0&amp;row=231&amp;col=8&amp;number=&amp;sourceID=11","")</f>
        <v/>
      </c>
      <c r="I231" s="4" t="str">
        <f>HYPERLINK("http://141.218.60.56/~jnz1568/getInfo.php?workbook=11_01.xlsx&amp;sheet=A0&amp;row=231&amp;col=9&amp;number=&amp;sourceID=11","")</f>
        <v/>
      </c>
      <c r="J231" s="4" t="str">
        <f>HYPERLINK("http://141.218.60.56/~jnz1568/getInfo.php?workbook=11_01.xlsx&amp;sheet=A0&amp;row=231&amp;col=10&amp;number=&amp;sourceID=11","")</f>
        <v/>
      </c>
      <c r="K231" s="4" t="str">
        <f>HYPERLINK("http://141.218.60.56/~jnz1568/getInfo.php?workbook=11_01.xlsx&amp;sheet=A0&amp;row=231&amp;col=11&amp;number=&amp;sourceID=11","")</f>
        <v/>
      </c>
      <c r="L231" s="4" t="str">
        <f>HYPERLINK("http://141.218.60.56/~jnz1568/getInfo.php?workbook=11_01.xlsx&amp;sheet=A0&amp;row=231&amp;col=12&amp;number=&amp;sourceID=11","")</f>
        <v/>
      </c>
      <c r="M231" s="4" t="str">
        <f>HYPERLINK("http://141.218.60.56/~jnz1568/getInfo.php?workbook=11_01.xlsx&amp;sheet=A0&amp;row=231&amp;col=13&amp;number=2.92e-10&amp;sourceID=11","2.92e-10")</f>
        <v>2.92e-10</v>
      </c>
      <c r="N231" s="4" t="str">
        <f>HYPERLINK("http://141.218.60.56/~jnz1568/getInfo.php?workbook=11_01.xlsx&amp;sheet=A0&amp;row=231&amp;col=14&amp;number=2.9195e-10&amp;sourceID=12","2.9195e-10")</f>
        <v>2.9195e-10</v>
      </c>
      <c r="O231" s="4" t="str">
        <f>HYPERLINK("http://141.218.60.56/~jnz1568/getInfo.php?workbook=11_01.xlsx&amp;sheet=A0&amp;row=231&amp;col=15&amp;number=&amp;sourceID=12","")</f>
        <v/>
      </c>
      <c r="P231" s="4" t="str">
        <f>HYPERLINK("http://141.218.60.56/~jnz1568/getInfo.php?workbook=11_01.xlsx&amp;sheet=A0&amp;row=231&amp;col=16&amp;number=&amp;sourceID=12","")</f>
        <v/>
      </c>
      <c r="Q231" s="4" t="str">
        <f>HYPERLINK("http://141.218.60.56/~jnz1568/getInfo.php?workbook=11_01.xlsx&amp;sheet=A0&amp;row=231&amp;col=17&amp;number=&amp;sourceID=12","")</f>
        <v/>
      </c>
      <c r="R231" s="4" t="str">
        <f>HYPERLINK("http://141.218.60.56/~jnz1568/getInfo.php?workbook=11_01.xlsx&amp;sheet=A0&amp;row=231&amp;col=18&amp;number=&amp;sourceID=12","")</f>
        <v/>
      </c>
      <c r="S231" s="4" t="str">
        <f>HYPERLINK("http://141.218.60.56/~jnz1568/getInfo.php?workbook=11_01.xlsx&amp;sheet=A0&amp;row=231&amp;col=19&amp;number=&amp;sourceID=12","")</f>
        <v/>
      </c>
      <c r="T231" s="4" t="str">
        <f>HYPERLINK("http://141.218.60.56/~jnz1568/getInfo.php?workbook=11_01.xlsx&amp;sheet=A0&amp;row=231&amp;col=20&amp;number=2.9195e-10&amp;sourceID=12","2.9195e-10")</f>
        <v>2.9195e-10</v>
      </c>
      <c r="U231" s="4" t="str">
        <f>HYPERLINK("http://141.218.60.56/~jnz1568/getInfo.php?workbook=11_01.xlsx&amp;sheet=A0&amp;row=231&amp;col=21&amp;number=&amp;sourceID=30","")</f>
        <v/>
      </c>
      <c r="V231" s="4" t="str">
        <f>HYPERLINK("http://141.218.60.56/~jnz1568/getInfo.php?workbook=11_01.xlsx&amp;sheet=A0&amp;row=231&amp;col=22&amp;number=&amp;sourceID=30","")</f>
        <v/>
      </c>
      <c r="W231" s="4" t="str">
        <f>HYPERLINK("http://141.218.60.56/~jnz1568/getInfo.php?workbook=11_01.xlsx&amp;sheet=A0&amp;row=231&amp;col=23&amp;number=&amp;sourceID=30","")</f>
        <v/>
      </c>
      <c r="X231" s="4" t="str">
        <f>HYPERLINK("http://141.218.60.56/~jnz1568/getInfo.php?workbook=11_01.xlsx&amp;sheet=A0&amp;row=231&amp;col=24&amp;number=&amp;sourceID=30","")</f>
        <v/>
      </c>
      <c r="Y231" s="4" t="str">
        <f>HYPERLINK("http://141.218.60.56/~jnz1568/getInfo.php?workbook=11_01.xlsx&amp;sheet=A0&amp;row=231&amp;col=25&amp;number=&amp;sourceID=30","")</f>
        <v/>
      </c>
      <c r="Z231" s="4" t="str">
        <f>HYPERLINK("http://141.218.60.56/~jnz1568/getInfo.php?workbook=11_01.xlsx&amp;sheet=A0&amp;row=231&amp;col=26&amp;number=&amp;sourceID=13","")</f>
        <v/>
      </c>
      <c r="AA231" s="4" t="str">
        <f>HYPERLINK("http://141.218.60.56/~jnz1568/getInfo.php?workbook=11_01.xlsx&amp;sheet=A0&amp;row=231&amp;col=27&amp;number=&amp;sourceID=13","")</f>
        <v/>
      </c>
      <c r="AB231" s="4" t="str">
        <f>HYPERLINK("http://141.218.60.56/~jnz1568/getInfo.php?workbook=11_01.xlsx&amp;sheet=A0&amp;row=231&amp;col=28&amp;number=&amp;sourceID=13","")</f>
        <v/>
      </c>
      <c r="AC231" s="4" t="str">
        <f>HYPERLINK("http://141.218.60.56/~jnz1568/getInfo.php?workbook=11_01.xlsx&amp;sheet=A0&amp;row=231&amp;col=29&amp;number=&amp;sourceID=13","")</f>
        <v/>
      </c>
      <c r="AD231" s="4" t="str">
        <f>HYPERLINK("http://141.218.60.56/~jnz1568/getInfo.php?workbook=11_01.xlsx&amp;sheet=A0&amp;row=231&amp;col=30&amp;number=&amp;sourceID=13","")</f>
        <v/>
      </c>
      <c r="AE231" s="4" t="str">
        <f>HYPERLINK("http://141.218.60.56/~jnz1568/getInfo.php?workbook=11_01.xlsx&amp;sheet=A0&amp;row=231&amp;col=31&amp;number=&amp;sourceID=13","")</f>
        <v/>
      </c>
    </row>
    <row r="232" spans="1:31">
      <c r="A232" s="3">
        <v>11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HYPERLINK("http://141.218.60.56/~jnz1568/getInfo.php?workbook=11_01.xlsx&amp;sheet=A0&amp;row=232&amp;col=6&amp;number=&amp;sourceID=18","")</f>
        <v/>
      </c>
      <c r="G232" s="4" t="str">
        <f>HYPERLINK("http://141.218.60.56/~jnz1568/getInfo.php?workbook=11_01.xlsx&amp;sheet=A0&amp;row=232&amp;col=7&amp;number==&amp;sourceID=11","=")</f>
        <v>=</v>
      </c>
      <c r="H232" s="4" t="str">
        <f>HYPERLINK("http://141.218.60.56/~jnz1568/getInfo.php?workbook=11_01.xlsx&amp;sheet=A0&amp;row=232&amp;col=8&amp;number=&amp;sourceID=11","")</f>
        <v/>
      </c>
      <c r="I232" s="4" t="str">
        <f>HYPERLINK("http://141.218.60.56/~jnz1568/getInfo.php?workbook=11_01.xlsx&amp;sheet=A0&amp;row=232&amp;col=9&amp;number=18519000&amp;sourceID=11","18519000")</f>
        <v>18519000</v>
      </c>
      <c r="J232" s="4" t="str">
        <f>HYPERLINK("http://141.218.60.56/~jnz1568/getInfo.php?workbook=11_01.xlsx&amp;sheet=A0&amp;row=232&amp;col=10&amp;number=&amp;sourceID=11","")</f>
        <v/>
      </c>
      <c r="K232" s="4" t="str">
        <f>HYPERLINK("http://141.218.60.56/~jnz1568/getInfo.php?workbook=11_01.xlsx&amp;sheet=A0&amp;row=232&amp;col=11&amp;number=&amp;sourceID=11","")</f>
        <v/>
      </c>
      <c r="L232" s="4" t="str">
        <f>HYPERLINK("http://141.218.60.56/~jnz1568/getInfo.php?workbook=11_01.xlsx&amp;sheet=A0&amp;row=232&amp;col=12&amp;number=&amp;sourceID=11","")</f>
        <v/>
      </c>
      <c r="M232" s="4" t="str">
        <f>HYPERLINK("http://141.218.60.56/~jnz1568/getInfo.php?workbook=11_01.xlsx&amp;sheet=A0&amp;row=232&amp;col=13&amp;number=0.023173&amp;sourceID=11","0.023173")</f>
        <v>0.023173</v>
      </c>
      <c r="N232" s="4" t="str">
        <f>HYPERLINK("http://141.218.60.56/~jnz1568/getInfo.php?workbook=11_01.xlsx&amp;sheet=A0&amp;row=232&amp;col=14&amp;number=18519000&amp;sourceID=12","18519000")</f>
        <v>18519000</v>
      </c>
      <c r="O232" s="4" t="str">
        <f>HYPERLINK("http://141.218.60.56/~jnz1568/getInfo.php?workbook=11_01.xlsx&amp;sheet=A0&amp;row=232&amp;col=15&amp;number=&amp;sourceID=12","")</f>
        <v/>
      </c>
      <c r="P232" s="4" t="str">
        <f>HYPERLINK("http://141.218.60.56/~jnz1568/getInfo.php?workbook=11_01.xlsx&amp;sheet=A0&amp;row=232&amp;col=16&amp;number=18519000&amp;sourceID=12","18519000")</f>
        <v>18519000</v>
      </c>
      <c r="Q232" s="4" t="str">
        <f>HYPERLINK("http://141.218.60.56/~jnz1568/getInfo.php?workbook=11_01.xlsx&amp;sheet=A0&amp;row=232&amp;col=17&amp;number=&amp;sourceID=12","")</f>
        <v/>
      </c>
      <c r="R232" s="4" t="str">
        <f>HYPERLINK("http://141.218.60.56/~jnz1568/getInfo.php?workbook=11_01.xlsx&amp;sheet=A0&amp;row=232&amp;col=18&amp;number=&amp;sourceID=12","")</f>
        <v/>
      </c>
      <c r="S232" s="4" t="str">
        <f>HYPERLINK("http://141.218.60.56/~jnz1568/getInfo.php?workbook=11_01.xlsx&amp;sheet=A0&amp;row=232&amp;col=19&amp;number=&amp;sourceID=12","")</f>
        <v/>
      </c>
      <c r="T232" s="4" t="str">
        <f>HYPERLINK("http://141.218.60.56/~jnz1568/getInfo.php?workbook=11_01.xlsx&amp;sheet=A0&amp;row=232&amp;col=20&amp;number=0.023174&amp;sourceID=12","0.023174")</f>
        <v>0.023174</v>
      </c>
      <c r="U232" s="4" t="str">
        <f>HYPERLINK("http://141.218.60.56/~jnz1568/getInfo.php?workbook=11_01.xlsx&amp;sheet=A0&amp;row=232&amp;col=21&amp;number=18520000&amp;sourceID=30","18520000")</f>
        <v>18520000</v>
      </c>
      <c r="V232" s="4" t="str">
        <f>HYPERLINK("http://141.218.60.56/~jnz1568/getInfo.php?workbook=11_01.xlsx&amp;sheet=A0&amp;row=232&amp;col=22&amp;number=&amp;sourceID=30","")</f>
        <v/>
      </c>
      <c r="W232" s="4" t="str">
        <f>HYPERLINK("http://141.218.60.56/~jnz1568/getInfo.php?workbook=11_01.xlsx&amp;sheet=A0&amp;row=232&amp;col=23&amp;number=18520000&amp;sourceID=30","18520000")</f>
        <v>18520000</v>
      </c>
      <c r="X232" s="4" t="str">
        <f>HYPERLINK("http://141.218.60.56/~jnz1568/getInfo.php?workbook=11_01.xlsx&amp;sheet=A0&amp;row=232&amp;col=24&amp;number=&amp;sourceID=30","")</f>
        <v/>
      </c>
      <c r="Y232" s="4" t="str">
        <f>HYPERLINK("http://141.218.60.56/~jnz1568/getInfo.php?workbook=11_01.xlsx&amp;sheet=A0&amp;row=232&amp;col=25&amp;number=&amp;sourceID=30","")</f>
        <v/>
      </c>
      <c r="Z232" s="4" t="str">
        <f>HYPERLINK("http://141.218.60.56/~jnz1568/getInfo.php?workbook=11_01.xlsx&amp;sheet=A0&amp;row=232&amp;col=26&amp;number=&amp;sourceID=13","")</f>
        <v/>
      </c>
      <c r="AA232" s="4" t="str">
        <f>HYPERLINK("http://141.218.60.56/~jnz1568/getInfo.php?workbook=11_01.xlsx&amp;sheet=A0&amp;row=232&amp;col=27&amp;number=&amp;sourceID=13","")</f>
        <v/>
      </c>
      <c r="AB232" s="4" t="str">
        <f>HYPERLINK("http://141.218.60.56/~jnz1568/getInfo.php?workbook=11_01.xlsx&amp;sheet=A0&amp;row=232&amp;col=28&amp;number=&amp;sourceID=13","")</f>
        <v/>
      </c>
      <c r="AC232" s="4" t="str">
        <f>HYPERLINK("http://141.218.60.56/~jnz1568/getInfo.php?workbook=11_01.xlsx&amp;sheet=A0&amp;row=232&amp;col=29&amp;number=&amp;sourceID=13","")</f>
        <v/>
      </c>
      <c r="AD232" s="4" t="str">
        <f>HYPERLINK("http://141.218.60.56/~jnz1568/getInfo.php?workbook=11_01.xlsx&amp;sheet=A0&amp;row=232&amp;col=30&amp;number=&amp;sourceID=13","")</f>
        <v/>
      </c>
      <c r="AE232" s="4" t="str">
        <f>HYPERLINK("http://141.218.60.56/~jnz1568/getInfo.php?workbook=11_01.xlsx&amp;sheet=A0&amp;row=232&amp;col=31&amp;number=&amp;sourceID=13","")</f>
        <v/>
      </c>
    </row>
    <row r="233" spans="1:31">
      <c r="A233" s="3">
        <v>11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HYPERLINK("http://141.218.60.56/~jnz1568/getInfo.php?workbook=11_01.xlsx&amp;sheet=A0&amp;row=233&amp;col=6&amp;number=&amp;sourceID=18","")</f>
        <v/>
      </c>
      <c r="G233" s="4" t="str">
        <f>HYPERLINK("http://141.218.60.56/~jnz1568/getInfo.php?workbook=11_01.xlsx&amp;sheet=A0&amp;row=233&amp;col=7&amp;number==&amp;sourceID=11","=")</f>
        <v>=</v>
      </c>
      <c r="H233" s="4" t="str">
        <f>HYPERLINK("http://141.218.60.56/~jnz1568/getInfo.php?workbook=11_01.xlsx&amp;sheet=A0&amp;row=233&amp;col=8&amp;number=&amp;sourceID=11","")</f>
        <v/>
      </c>
      <c r="I233" s="4" t="str">
        <f>HYPERLINK("http://141.218.60.56/~jnz1568/getInfo.php?workbook=11_01.xlsx&amp;sheet=A0&amp;row=233&amp;col=9&amp;number=&amp;sourceID=11","")</f>
        <v/>
      </c>
      <c r="J233" s="4" t="str">
        <f>HYPERLINK("http://141.218.60.56/~jnz1568/getInfo.php?workbook=11_01.xlsx&amp;sheet=A0&amp;row=233&amp;col=10&amp;number=759.7&amp;sourceID=11","759.7")</f>
        <v>759.7</v>
      </c>
      <c r="K233" s="4" t="str">
        <f>HYPERLINK("http://141.218.60.56/~jnz1568/getInfo.php?workbook=11_01.xlsx&amp;sheet=A0&amp;row=233&amp;col=11&amp;number=&amp;sourceID=11","")</f>
        <v/>
      </c>
      <c r="L233" s="4" t="str">
        <f>HYPERLINK("http://141.218.60.56/~jnz1568/getInfo.php?workbook=11_01.xlsx&amp;sheet=A0&amp;row=233&amp;col=12&amp;number=5.3171e-06&amp;sourceID=11","5.3171e-06")</f>
        <v>5.3171e-06</v>
      </c>
      <c r="M233" s="4" t="str">
        <f>HYPERLINK("http://141.218.60.56/~jnz1568/getInfo.php?workbook=11_01.xlsx&amp;sheet=A0&amp;row=233&amp;col=13&amp;number=&amp;sourceID=11","")</f>
        <v/>
      </c>
      <c r="N233" s="4" t="str">
        <f>HYPERLINK("http://141.218.60.56/~jnz1568/getInfo.php?workbook=11_01.xlsx&amp;sheet=A0&amp;row=233&amp;col=14&amp;number=759.72&amp;sourceID=12","759.72")</f>
        <v>759.72</v>
      </c>
      <c r="O233" s="4" t="str">
        <f>HYPERLINK("http://141.218.60.56/~jnz1568/getInfo.php?workbook=11_01.xlsx&amp;sheet=A0&amp;row=233&amp;col=15&amp;number=&amp;sourceID=12","")</f>
        <v/>
      </c>
      <c r="P233" s="4" t="str">
        <f>HYPERLINK("http://141.218.60.56/~jnz1568/getInfo.php?workbook=11_01.xlsx&amp;sheet=A0&amp;row=233&amp;col=16&amp;number=&amp;sourceID=12","")</f>
        <v/>
      </c>
      <c r="Q233" s="4" t="str">
        <f>HYPERLINK("http://141.218.60.56/~jnz1568/getInfo.php?workbook=11_01.xlsx&amp;sheet=A0&amp;row=233&amp;col=17&amp;number=759.72&amp;sourceID=12","759.72")</f>
        <v>759.72</v>
      </c>
      <c r="R233" s="4" t="str">
        <f>HYPERLINK("http://141.218.60.56/~jnz1568/getInfo.php?workbook=11_01.xlsx&amp;sheet=A0&amp;row=233&amp;col=18&amp;number=&amp;sourceID=12","")</f>
        <v/>
      </c>
      <c r="S233" s="4" t="str">
        <f>HYPERLINK("http://141.218.60.56/~jnz1568/getInfo.php?workbook=11_01.xlsx&amp;sheet=A0&amp;row=233&amp;col=19&amp;number=5.317e-06&amp;sourceID=12","5.317e-06")</f>
        <v>5.317e-06</v>
      </c>
      <c r="T233" s="4" t="str">
        <f>HYPERLINK("http://141.218.60.56/~jnz1568/getInfo.php?workbook=11_01.xlsx&amp;sheet=A0&amp;row=233&amp;col=20&amp;number=&amp;sourceID=12","")</f>
        <v/>
      </c>
      <c r="U233" s="4" t="str">
        <f>HYPERLINK("http://141.218.60.56/~jnz1568/getInfo.php?workbook=11_01.xlsx&amp;sheet=A0&amp;row=233&amp;col=21&amp;number=5.313e-06&amp;sourceID=30","5.313e-06")</f>
        <v>5.313e-06</v>
      </c>
      <c r="V233" s="4" t="str">
        <f>HYPERLINK("http://141.218.60.56/~jnz1568/getInfo.php?workbook=11_01.xlsx&amp;sheet=A0&amp;row=233&amp;col=22&amp;number=&amp;sourceID=30","")</f>
        <v/>
      </c>
      <c r="W233" s="4" t="str">
        <f>HYPERLINK("http://141.218.60.56/~jnz1568/getInfo.php?workbook=11_01.xlsx&amp;sheet=A0&amp;row=233&amp;col=23&amp;number=&amp;sourceID=30","")</f>
        <v/>
      </c>
      <c r="X233" s="4" t="str">
        <f>HYPERLINK("http://141.218.60.56/~jnz1568/getInfo.php?workbook=11_01.xlsx&amp;sheet=A0&amp;row=233&amp;col=24&amp;number=&amp;sourceID=30","")</f>
        <v/>
      </c>
      <c r="Y233" s="4" t="str">
        <f>HYPERLINK("http://141.218.60.56/~jnz1568/getInfo.php?workbook=11_01.xlsx&amp;sheet=A0&amp;row=233&amp;col=25&amp;number=5.313e-06&amp;sourceID=30","5.313e-06")</f>
        <v>5.313e-06</v>
      </c>
      <c r="Z233" s="4" t="str">
        <f>HYPERLINK("http://141.218.60.56/~jnz1568/getInfo.php?workbook=11_01.xlsx&amp;sheet=A0&amp;row=233&amp;col=26&amp;number=&amp;sourceID=13","")</f>
        <v/>
      </c>
      <c r="AA233" s="4" t="str">
        <f>HYPERLINK("http://141.218.60.56/~jnz1568/getInfo.php?workbook=11_01.xlsx&amp;sheet=A0&amp;row=233&amp;col=27&amp;number=&amp;sourceID=13","")</f>
        <v/>
      </c>
      <c r="AB233" s="4" t="str">
        <f>HYPERLINK("http://141.218.60.56/~jnz1568/getInfo.php?workbook=11_01.xlsx&amp;sheet=A0&amp;row=233&amp;col=28&amp;number=&amp;sourceID=13","")</f>
        <v/>
      </c>
      <c r="AC233" s="4" t="str">
        <f>HYPERLINK("http://141.218.60.56/~jnz1568/getInfo.php?workbook=11_01.xlsx&amp;sheet=A0&amp;row=233&amp;col=29&amp;number=&amp;sourceID=13","")</f>
        <v/>
      </c>
      <c r="AD233" s="4" t="str">
        <f>HYPERLINK("http://141.218.60.56/~jnz1568/getInfo.php?workbook=11_01.xlsx&amp;sheet=A0&amp;row=233&amp;col=30&amp;number=&amp;sourceID=13","")</f>
        <v/>
      </c>
      <c r="AE233" s="4" t="str">
        <f>HYPERLINK("http://141.218.60.56/~jnz1568/getInfo.php?workbook=11_01.xlsx&amp;sheet=A0&amp;row=233&amp;col=31&amp;number=&amp;sourceID=13","")</f>
        <v/>
      </c>
    </row>
    <row r="234" spans="1:31">
      <c r="A234" s="3">
        <v>11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HYPERLINK("http://141.218.60.56/~jnz1568/getInfo.php?workbook=11_01.xlsx&amp;sheet=A0&amp;row=234&amp;col=6&amp;number=&amp;sourceID=18","")</f>
        <v/>
      </c>
      <c r="G234" s="4" t="str">
        <f>HYPERLINK("http://141.218.60.56/~jnz1568/getInfo.php?workbook=11_01.xlsx&amp;sheet=A0&amp;row=234&amp;col=7&amp;number==&amp;sourceID=11","=")</f>
        <v>=</v>
      </c>
      <c r="H234" s="4" t="str">
        <f>HYPERLINK("http://141.218.60.56/~jnz1568/getInfo.php?workbook=11_01.xlsx&amp;sheet=A0&amp;row=234&amp;col=8&amp;number=&amp;sourceID=11","")</f>
        <v/>
      </c>
      <c r="I234" s="4" t="str">
        <f>HYPERLINK("http://141.218.60.56/~jnz1568/getInfo.php?workbook=11_01.xlsx&amp;sheet=A0&amp;row=234&amp;col=9&amp;number=2057100&amp;sourceID=11","2057100")</f>
        <v>2057100</v>
      </c>
      <c r="J234" s="4" t="str">
        <f>HYPERLINK("http://141.218.60.56/~jnz1568/getInfo.php?workbook=11_01.xlsx&amp;sheet=A0&amp;row=234&amp;col=10&amp;number=&amp;sourceID=11","")</f>
        <v/>
      </c>
      <c r="K234" s="4" t="str">
        <f>HYPERLINK("http://141.218.60.56/~jnz1568/getInfo.php?workbook=11_01.xlsx&amp;sheet=A0&amp;row=234&amp;col=11&amp;number=0.036013&amp;sourceID=11","0.036013")</f>
        <v>0.036013</v>
      </c>
      <c r="L234" s="4" t="str">
        <f>HYPERLINK("http://141.218.60.56/~jnz1568/getInfo.php?workbook=11_01.xlsx&amp;sheet=A0&amp;row=234&amp;col=12&amp;number=&amp;sourceID=11","")</f>
        <v/>
      </c>
      <c r="M234" s="4" t="str">
        <f>HYPERLINK("http://141.218.60.56/~jnz1568/getInfo.php?workbook=11_01.xlsx&amp;sheet=A0&amp;row=234&amp;col=13&amp;number=0.00085743&amp;sourceID=11","0.00085743")</f>
        <v>0.00085743</v>
      </c>
      <c r="N234" s="4" t="str">
        <f>HYPERLINK("http://141.218.60.56/~jnz1568/getInfo.php?workbook=11_01.xlsx&amp;sheet=A0&amp;row=234&amp;col=14&amp;number=2057100&amp;sourceID=12","2057100")</f>
        <v>2057100</v>
      </c>
      <c r="O234" s="4" t="str">
        <f>HYPERLINK("http://141.218.60.56/~jnz1568/getInfo.php?workbook=11_01.xlsx&amp;sheet=A0&amp;row=234&amp;col=15&amp;number=&amp;sourceID=12","")</f>
        <v/>
      </c>
      <c r="P234" s="4" t="str">
        <f>HYPERLINK("http://141.218.60.56/~jnz1568/getInfo.php?workbook=11_01.xlsx&amp;sheet=A0&amp;row=234&amp;col=16&amp;number=2057100&amp;sourceID=12","2057100")</f>
        <v>2057100</v>
      </c>
      <c r="Q234" s="4" t="str">
        <f>HYPERLINK("http://141.218.60.56/~jnz1568/getInfo.php?workbook=11_01.xlsx&amp;sheet=A0&amp;row=234&amp;col=17&amp;number=&amp;sourceID=12","")</f>
        <v/>
      </c>
      <c r="R234" s="4" t="str">
        <f>HYPERLINK("http://141.218.60.56/~jnz1568/getInfo.php?workbook=11_01.xlsx&amp;sheet=A0&amp;row=234&amp;col=18&amp;number=0.036013&amp;sourceID=12","0.036013")</f>
        <v>0.036013</v>
      </c>
      <c r="S234" s="4" t="str">
        <f>HYPERLINK("http://141.218.60.56/~jnz1568/getInfo.php?workbook=11_01.xlsx&amp;sheet=A0&amp;row=234&amp;col=19&amp;number=&amp;sourceID=12","")</f>
        <v/>
      </c>
      <c r="T234" s="4" t="str">
        <f>HYPERLINK("http://141.218.60.56/~jnz1568/getInfo.php?workbook=11_01.xlsx&amp;sheet=A0&amp;row=234&amp;col=20&amp;number=0.00085745&amp;sourceID=12","0.00085745")</f>
        <v>0.00085745</v>
      </c>
      <c r="U234" s="4" t="str">
        <f>HYPERLINK("http://141.218.60.56/~jnz1568/getInfo.php?workbook=11_01.xlsx&amp;sheet=A0&amp;row=234&amp;col=21&amp;number=2057000.03601&amp;sourceID=30","2057000.03601")</f>
        <v>2057000.03601</v>
      </c>
      <c r="V234" s="4" t="str">
        <f>HYPERLINK("http://141.218.60.56/~jnz1568/getInfo.php?workbook=11_01.xlsx&amp;sheet=A0&amp;row=234&amp;col=22&amp;number=&amp;sourceID=30","")</f>
        <v/>
      </c>
      <c r="W234" s="4" t="str">
        <f>HYPERLINK("http://141.218.60.56/~jnz1568/getInfo.php?workbook=11_01.xlsx&amp;sheet=A0&amp;row=234&amp;col=23&amp;number=2057000&amp;sourceID=30","2057000")</f>
        <v>2057000</v>
      </c>
      <c r="X234" s="4" t="str">
        <f>HYPERLINK("http://141.218.60.56/~jnz1568/getInfo.php?workbook=11_01.xlsx&amp;sheet=A0&amp;row=234&amp;col=24&amp;number=0.03601&amp;sourceID=30","0.03601")</f>
        <v>0.03601</v>
      </c>
      <c r="Y234" s="4" t="str">
        <f>HYPERLINK("http://141.218.60.56/~jnz1568/getInfo.php?workbook=11_01.xlsx&amp;sheet=A0&amp;row=234&amp;col=25&amp;number=&amp;sourceID=30","")</f>
        <v/>
      </c>
      <c r="Z234" s="4" t="str">
        <f>HYPERLINK("http://141.218.60.56/~jnz1568/getInfo.php?workbook=11_01.xlsx&amp;sheet=A0&amp;row=234&amp;col=26&amp;number=&amp;sourceID=13","")</f>
        <v/>
      </c>
      <c r="AA234" s="4" t="str">
        <f>HYPERLINK("http://141.218.60.56/~jnz1568/getInfo.php?workbook=11_01.xlsx&amp;sheet=A0&amp;row=234&amp;col=27&amp;number=&amp;sourceID=13","")</f>
        <v/>
      </c>
      <c r="AB234" s="4" t="str">
        <f>HYPERLINK("http://141.218.60.56/~jnz1568/getInfo.php?workbook=11_01.xlsx&amp;sheet=A0&amp;row=234&amp;col=28&amp;number=&amp;sourceID=13","")</f>
        <v/>
      </c>
      <c r="AC234" s="4" t="str">
        <f>HYPERLINK("http://141.218.60.56/~jnz1568/getInfo.php?workbook=11_01.xlsx&amp;sheet=A0&amp;row=234&amp;col=29&amp;number=&amp;sourceID=13","")</f>
        <v/>
      </c>
      <c r="AD234" s="4" t="str">
        <f>HYPERLINK("http://141.218.60.56/~jnz1568/getInfo.php?workbook=11_01.xlsx&amp;sheet=A0&amp;row=234&amp;col=30&amp;number=&amp;sourceID=13","")</f>
        <v/>
      </c>
      <c r="AE234" s="4" t="str">
        <f>HYPERLINK("http://141.218.60.56/~jnz1568/getInfo.php?workbook=11_01.xlsx&amp;sheet=A0&amp;row=234&amp;col=31&amp;number=&amp;sourceID=13","")</f>
        <v/>
      </c>
    </row>
    <row r="235" spans="1:31">
      <c r="A235" s="3">
        <v>11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HYPERLINK("http://141.218.60.56/~jnz1568/getInfo.php?workbook=11_01.xlsx&amp;sheet=A0&amp;row=235&amp;col=6&amp;number=&amp;sourceID=18","")</f>
        <v/>
      </c>
      <c r="G235" s="4" t="str">
        <f>HYPERLINK("http://141.218.60.56/~jnz1568/getInfo.php?workbook=11_01.xlsx&amp;sheet=A0&amp;row=235&amp;col=7&amp;number==&amp;sourceID=11","=")</f>
        <v>=</v>
      </c>
      <c r="H235" s="4" t="str">
        <f>HYPERLINK("http://141.218.60.56/~jnz1568/getInfo.php?workbook=11_01.xlsx&amp;sheet=A0&amp;row=235&amp;col=8&amp;number=&amp;sourceID=11","")</f>
        <v/>
      </c>
      <c r="I235" s="4" t="str">
        <f>HYPERLINK("http://141.218.60.56/~jnz1568/getInfo.php?workbook=11_01.xlsx&amp;sheet=A0&amp;row=235&amp;col=9&amp;number=&amp;sourceID=11","")</f>
        <v/>
      </c>
      <c r="J235" s="4" t="str">
        <f>HYPERLINK("http://141.218.60.56/~jnz1568/getInfo.php?workbook=11_01.xlsx&amp;sheet=A0&amp;row=235&amp;col=10&amp;number=21.346&amp;sourceID=11","21.346")</f>
        <v>21.346</v>
      </c>
      <c r="K235" s="4" t="str">
        <f>HYPERLINK("http://141.218.60.56/~jnz1568/getInfo.php?workbook=11_01.xlsx&amp;sheet=A0&amp;row=235&amp;col=11&amp;number=&amp;sourceID=11","")</f>
        <v/>
      </c>
      <c r="L235" s="4" t="str">
        <f>HYPERLINK("http://141.218.60.56/~jnz1568/getInfo.php?workbook=11_01.xlsx&amp;sheet=A0&amp;row=235&amp;col=12&amp;number=&amp;sourceID=11","")</f>
        <v/>
      </c>
      <c r="M235" s="4" t="str">
        <f>HYPERLINK("http://141.218.60.56/~jnz1568/getInfo.php?workbook=11_01.xlsx&amp;sheet=A0&amp;row=235&amp;col=13&amp;number=&amp;sourceID=11","")</f>
        <v/>
      </c>
      <c r="N235" s="4" t="str">
        <f>HYPERLINK("http://141.218.60.56/~jnz1568/getInfo.php?workbook=11_01.xlsx&amp;sheet=A0&amp;row=235&amp;col=14&amp;number=21.347&amp;sourceID=12","21.347")</f>
        <v>21.347</v>
      </c>
      <c r="O235" s="4" t="str">
        <f>HYPERLINK("http://141.218.60.56/~jnz1568/getInfo.php?workbook=11_01.xlsx&amp;sheet=A0&amp;row=235&amp;col=15&amp;number=&amp;sourceID=12","")</f>
        <v/>
      </c>
      <c r="P235" s="4" t="str">
        <f>HYPERLINK("http://141.218.60.56/~jnz1568/getInfo.php?workbook=11_01.xlsx&amp;sheet=A0&amp;row=235&amp;col=16&amp;number=&amp;sourceID=12","")</f>
        <v/>
      </c>
      <c r="Q235" s="4" t="str">
        <f>HYPERLINK("http://141.218.60.56/~jnz1568/getInfo.php?workbook=11_01.xlsx&amp;sheet=A0&amp;row=235&amp;col=17&amp;number=21.347&amp;sourceID=12","21.347")</f>
        <v>21.347</v>
      </c>
      <c r="R235" s="4" t="str">
        <f>HYPERLINK("http://141.218.60.56/~jnz1568/getInfo.php?workbook=11_01.xlsx&amp;sheet=A0&amp;row=235&amp;col=18&amp;number=&amp;sourceID=12","")</f>
        <v/>
      </c>
      <c r="S235" s="4" t="str">
        <f>HYPERLINK("http://141.218.60.56/~jnz1568/getInfo.php?workbook=11_01.xlsx&amp;sheet=A0&amp;row=235&amp;col=19&amp;number=&amp;sourceID=12","")</f>
        <v/>
      </c>
      <c r="T235" s="4" t="str">
        <f>HYPERLINK("http://141.218.60.56/~jnz1568/getInfo.php?workbook=11_01.xlsx&amp;sheet=A0&amp;row=235&amp;col=20&amp;number=&amp;sourceID=12","")</f>
        <v/>
      </c>
      <c r="U235" s="4" t="str">
        <f>HYPERLINK("http://141.218.60.56/~jnz1568/getInfo.php?workbook=11_01.xlsx&amp;sheet=A0&amp;row=235&amp;col=21&amp;number=&amp;sourceID=30","")</f>
        <v/>
      </c>
      <c r="V235" s="4" t="str">
        <f>HYPERLINK("http://141.218.60.56/~jnz1568/getInfo.php?workbook=11_01.xlsx&amp;sheet=A0&amp;row=235&amp;col=22&amp;number=&amp;sourceID=30","")</f>
        <v/>
      </c>
      <c r="W235" s="4" t="str">
        <f>HYPERLINK("http://141.218.60.56/~jnz1568/getInfo.php?workbook=11_01.xlsx&amp;sheet=A0&amp;row=235&amp;col=23&amp;number=&amp;sourceID=30","")</f>
        <v/>
      </c>
      <c r="X235" s="4" t="str">
        <f>HYPERLINK("http://141.218.60.56/~jnz1568/getInfo.php?workbook=11_01.xlsx&amp;sheet=A0&amp;row=235&amp;col=24&amp;number=&amp;sourceID=30","")</f>
        <v/>
      </c>
      <c r="Y235" s="4" t="str">
        <f>HYPERLINK("http://141.218.60.56/~jnz1568/getInfo.php?workbook=11_01.xlsx&amp;sheet=A0&amp;row=235&amp;col=25&amp;number=&amp;sourceID=30","")</f>
        <v/>
      </c>
      <c r="Z235" s="4" t="str">
        <f>HYPERLINK("http://141.218.60.56/~jnz1568/getInfo.php?workbook=11_01.xlsx&amp;sheet=A0&amp;row=235&amp;col=26&amp;number=&amp;sourceID=13","")</f>
        <v/>
      </c>
      <c r="AA235" s="4" t="str">
        <f>HYPERLINK("http://141.218.60.56/~jnz1568/getInfo.php?workbook=11_01.xlsx&amp;sheet=A0&amp;row=235&amp;col=27&amp;number=&amp;sourceID=13","")</f>
        <v/>
      </c>
      <c r="AB235" s="4" t="str">
        <f>HYPERLINK("http://141.218.60.56/~jnz1568/getInfo.php?workbook=11_01.xlsx&amp;sheet=A0&amp;row=235&amp;col=28&amp;number=&amp;sourceID=13","")</f>
        <v/>
      </c>
      <c r="AC235" s="4" t="str">
        <f>HYPERLINK("http://141.218.60.56/~jnz1568/getInfo.php?workbook=11_01.xlsx&amp;sheet=A0&amp;row=235&amp;col=29&amp;number=&amp;sourceID=13","")</f>
        <v/>
      </c>
      <c r="AD235" s="4" t="str">
        <f>HYPERLINK("http://141.218.60.56/~jnz1568/getInfo.php?workbook=11_01.xlsx&amp;sheet=A0&amp;row=235&amp;col=30&amp;number=&amp;sourceID=13","")</f>
        <v/>
      </c>
      <c r="AE235" s="4" t="str">
        <f>HYPERLINK("http://141.218.60.56/~jnz1568/getInfo.php?workbook=11_01.xlsx&amp;sheet=A0&amp;row=235&amp;col=31&amp;number=&amp;sourceID=13","")</f>
        <v/>
      </c>
    </row>
    <row r="236" spans="1:31">
      <c r="A236" s="3">
        <v>11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HYPERLINK("http://141.218.60.56/~jnz1568/getInfo.php?workbook=11_01.xlsx&amp;sheet=A0&amp;row=236&amp;col=6&amp;number=&amp;sourceID=18","")</f>
        <v/>
      </c>
      <c r="G236" s="4" t="str">
        <f>HYPERLINK("http://141.218.60.56/~jnz1568/getInfo.php?workbook=11_01.xlsx&amp;sheet=A0&amp;row=236&amp;col=7&amp;number==&amp;sourceID=11","=")</f>
        <v>=</v>
      </c>
      <c r="H236" s="4" t="str">
        <f>HYPERLINK("http://141.218.60.56/~jnz1568/getInfo.php?workbook=11_01.xlsx&amp;sheet=A0&amp;row=236&amp;col=8&amp;number=&amp;sourceID=11","")</f>
        <v/>
      </c>
      <c r="I236" s="4" t="str">
        <f>HYPERLINK("http://141.218.60.56/~jnz1568/getInfo.php?workbook=11_01.xlsx&amp;sheet=A0&amp;row=236&amp;col=9&amp;number=&amp;sourceID=11","")</f>
        <v/>
      </c>
      <c r="J236" s="4" t="str">
        <f>HYPERLINK("http://141.218.60.56/~jnz1568/getInfo.php?workbook=11_01.xlsx&amp;sheet=A0&amp;row=236&amp;col=10&amp;number=&amp;sourceID=11","")</f>
        <v/>
      </c>
      <c r="K236" s="4" t="str">
        <f>HYPERLINK("http://141.218.60.56/~jnz1568/getInfo.php?workbook=11_01.xlsx&amp;sheet=A0&amp;row=236&amp;col=11&amp;number=&amp;sourceID=11","")</f>
        <v/>
      </c>
      <c r="L236" s="4" t="str">
        <f>HYPERLINK("http://141.218.60.56/~jnz1568/getInfo.php?workbook=11_01.xlsx&amp;sheet=A0&amp;row=236&amp;col=12&amp;number=&amp;sourceID=11","")</f>
        <v/>
      </c>
      <c r="M236" s="4" t="str">
        <f>HYPERLINK("http://141.218.60.56/~jnz1568/getInfo.php?workbook=11_01.xlsx&amp;sheet=A0&amp;row=236&amp;col=13&amp;number=3.35e-13&amp;sourceID=11","3.35e-13")</f>
        <v>3.35e-13</v>
      </c>
      <c r="N236" s="4" t="str">
        <f>HYPERLINK("http://141.218.60.56/~jnz1568/getInfo.php?workbook=11_01.xlsx&amp;sheet=A0&amp;row=236&amp;col=14&amp;number=3.35e-13&amp;sourceID=12","3.35e-13")</f>
        <v>3.35e-13</v>
      </c>
      <c r="O236" s="4" t="str">
        <f>HYPERLINK("http://141.218.60.56/~jnz1568/getInfo.php?workbook=11_01.xlsx&amp;sheet=A0&amp;row=236&amp;col=15&amp;number=&amp;sourceID=12","")</f>
        <v/>
      </c>
      <c r="P236" s="4" t="str">
        <f>HYPERLINK("http://141.218.60.56/~jnz1568/getInfo.php?workbook=11_01.xlsx&amp;sheet=A0&amp;row=236&amp;col=16&amp;number=&amp;sourceID=12","")</f>
        <v/>
      </c>
      <c r="Q236" s="4" t="str">
        <f>HYPERLINK("http://141.218.60.56/~jnz1568/getInfo.php?workbook=11_01.xlsx&amp;sheet=A0&amp;row=236&amp;col=17&amp;number=&amp;sourceID=12","")</f>
        <v/>
      </c>
      <c r="R236" s="4" t="str">
        <f>HYPERLINK("http://141.218.60.56/~jnz1568/getInfo.php?workbook=11_01.xlsx&amp;sheet=A0&amp;row=236&amp;col=18&amp;number=&amp;sourceID=12","")</f>
        <v/>
      </c>
      <c r="S236" s="4" t="str">
        <f>HYPERLINK("http://141.218.60.56/~jnz1568/getInfo.php?workbook=11_01.xlsx&amp;sheet=A0&amp;row=236&amp;col=19&amp;number=&amp;sourceID=12","")</f>
        <v/>
      </c>
      <c r="T236" s="4" t="str">
        <f>HYPERLINK("http://141.218.60.56/~jnz1568/getInfo.php?workbook=11_01.xlsx&amp;sheet=A0&amp;row=236&amp;col=20&amp;number=3.35e-13&amp;sourceID=12","3.35e-13")</f>
        <v>3.35e-13</v>
      </c>
      <c r="U236" s="4" t="str">
        <f>HYPERLINK("http://141.218.60.56/~jnz1568/getInfo.php?workbook=11_01.xlsx&amp;sheet=A0&amp;row=236&amp;col=21&amp;number=&amp;sourceID=30","")</f>
        <v/>
      </c>
      <c r="V236" s="4" t="str">
        <f>HYPERLINK("http://141.218.60.56/~jnz1568/getInfo.php?workbook=11_01.xlsx&amp;sheet=A0&amp;row=236&amp;col=22&amp;number=&amp;sourceID=30","")</f>
        <v/>
      </c>
      <c r="W236" s="4" t="str">
        <f>HYPERLINK("http://141.218.60.56/~jnz1568/getInfo.php?workbook=11_01.xlsx&amp;sheet=A0&amp;row=236&amp;col=23&amp;number=&amp;sourceID=30","")</f>
        <v/>
      </c>
      <c r="X236" s="4" t="str">
        <f>HYPERLINK("http://141.218.60.56/~jnz1568/getInfo.php?workbook=11_01.xlsx&amp;sheet=A0&amp;row=236&amp;col=24&amp;number=&amp;sourceID=30","")</f>
        <v/>
      </c>
      <c r="Y236" s="4" t="str">
        <f>HYPERLINK("http://141.218.60.56/~jnz1568/getInfo.php?workbook=11_01.xlsx&amp;sheet=A0&amp;row=236&amp;col=25&amp;number=&amp;sourceID=30","")</f>
        <v/>
      </c>
      <c r="Z236" s="4" t="str">
        <f>HYPERLINK("http://141.218.60.56/~jnz1568/getInfo.php?workbook=11_01.xlsx&amp;sheet=A0&amp;row=236&amp;col=26&amp;number=&amp;sourceID=13","")</f>
        <v/>
      </c>
      <c r="AA236" s="4" t="str">
        <f>HYPERLINK("http://141.218.60.56/~jnz1568/getInfo.php?workbook=11_01.xlsx&amp;sheet=A0&amp;row=236&amp;col=27&amp;number=&amp;sourceID=13","")</f>
        <v/>
      </c>
      <c r="AB236" s="4" t="str">
        <f>HYPERLINK("http://141.218.60.56/~jnz1568/getInfo.php?workbook=11_01.xlsx&amp;sheet=A0&amp;row=236&amp;col=28&amp;number=&amp;sourceID=13","")</f>
        <v/>
      </c>
      <c r="AC236" s="4" t="str">
        <f>HYPERLINK("http://141.218.60.56/~jnz1568/getInfo.php?workbook=11_01.xlsx&amp;sheet=A0&amp;row=236&amp;col=29&amp;number=&amp;sourceID=13","")</f>
        <v/>
      </c>
      <c r="AD236" s="4" t="str">
        <f>HYPERLINK("http://141.218.60.56/~jnz1568/getInfo.php?workbook=11_01.xlsx&amp;sheet=A0&amp;row=236&amp;col=30&amp;number=&amp;sourceID=13","")</f>
        <v/>
      </c>
      <c r="AE236" s="4" t="str">
        <f>HYPERLINK("http://141.218.60.56/~jnz1568/getInfo.php?workbook=11_01.xlsx&amp;sheet=A0&amp;row=236&amp;col=31&amp;number=&amp;sourceID=13","")</f>
        <v/>
      </c>
    </row>
    <row r="237" spans="1:31">
      <c r="A237" s="3">
        <v>11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HYPERLINK("http://141.218.60.56/~jnz1568/getInfo.php?workbook=11_01.xlsx&amp;sheet=A0&amp;row=237&amp;col=6&amp;number=&amp;sourceID=18","")</f>
        <v/>
      </c>
      <c r="G237" s="4" t="str">
        <f>HYPERLINK("http://141.218.60.56/~jnz1568/getInfo.php?workbook=11_01.xlsx&amp;sheet=A0&amp;row=237&amp;col=7&amp;number==&amp;sourceID=11","=")</f>
        <v>=</v>
      </c>
      <c r="H237" s="4" t="str">
        <f>HYPERLINK("http://141.218.60.56/~jnz1568/getInfo.php?workbook=11_01.xlsx&amp;sheet=A0&amp;row=237&amp;col=8&amp;number=&amp;sourceID=11","")</f>
        <v/>
      </c>
      <c r="I237" s="4" t="str">
        <f>HYPERLINK("http://141.218.60.56/~jnz1568/getInfo.php?workbook=11_01.xlsx&amp;sheet=A0&amp;row=237&amp;col=9&amp;number=1599500&amp;sourceID=11","1599500")</f>
        <v>1599500</v>
      </c>
      <c r="J237" s="4" t="str">
        <f>HYPERLINK("http://141.218.60.56/~jnz1568/getInfo.php?workbook=11_01.xlsx&amp;sheet=A0&amp;row=237&amp;col=10&amp;number=&amp;sourceID=11","")</f>
        <v/>
      </c>
      <c r="K237" s="4" t="str">
        <f>HYPERLINK("http://141.218.60.56/~jnz1568/getInfo.php?workbook=11_01.xlsx&amp;sheet=A0&amp;row=237&amp;col=11&amp;number=&amp;sourceID=11","")</f>
        <v/>
      </c>
      <c r="L237" s="4" t="str">
        <f>HYPERLINK("http://141.218.60.56/~jnz1568/getInfo.php?workbook=11_01.xlsx&amp;sheet=A0&amp;row=237&amp;col=12&amp;number=&amp;sourceID=11","")</f>
        <v/>
      </c>
      <c r="M237" s="4" t="str">
        <f>HYPERLINK("http://141.218.60.56/~jnz1568/getInfo.php?workbook=11_01.xlsx&amp;sheet=A0&amp;row=237&amp;col=13&amp;number=0.00020054&amp;sourceID=11","0.00020054")</f>
        <v>0.00020054</v>
      </c>
      <c r="N237" s="4" t="str">
        <f>HYPERLINK("http://141.218.60.56/~jnz1568/getInfo.php?workbook=11_01.xlsx&amp;sheet=A0&amp;row=237&amp;col=14&amp;number=1599500&amp;sourceID=12","1599500")</f>
        <v>1599500</v>
      </c>
      <c r="O237" s="4" t="str">
        <f>HYPERLINK("http://141.218.60.56/~jnz1568/getInfo.php?workbook=11_01.xlsx&amp;sheet=A0&amp;row=237&amp;col=15&amp;number=&amp;sourceID=12","")</f>
        <v/>
      </c>
      <c r="P237" s="4" t="str">
        <f>HYPERLINK("http://141.218.60.56/~jnz1568/getInfo.php?workbook=11_01.xlsx&amp;sheet=A0&amp;row=237&amp;col=16&amp;number=1599500&amp;sourceID=12","1599500")</f>
        <v>1599500</v>
      </c>
      <c r="Q237" s="4" t="str">
        <f>HYPERLINK("http://141.218.60.56/~jnz1568/getInfo.php?workbook=11_01.xlsx&amp;sheet=A0&amp;row=237&amp;col=17&amp;number=&amp;sourceID=12","")</f>
        <v/>
      </c>
      <c r="R237" s="4" t="str">
        <f>HYPERLINK("http://141.218.60.56/~jnz1568/getInfo.php?workbook=11_01.xlsx&amp;sheet=A0&amp;row=237&amp;col=18&amp;number=&amp;sourceID=12","")</f>
        <v/>
      </c>
      <c r="S237" s="4" t="str">
        <f>HYPERLINK("http://141.218.60.56/~jnz1568/getInfo.php?workbook=11_01.xlsx&amp;sheet=A0&amp;row=237&amp;col=19&amp;number=&amp;sourceID=12","")</f>
        <v/>
      </c>
      <c r="T237" s="4" t="str">
        <f>HYPERLINK("http://141.218.60.56/~jnz1568/getInfo.php?workbook=11_01.xlsx&amp;sheet=A0&amp;row=237&amp;col=20&amp;number=0.00020054&amp;sourceID=12","0.00020054")</f>
        <v>0.00020054</v>
      </c>
      <c r="U237" s="4" t="str">
        <f>HYPERLINK("http://141.218.60.56/~jnz1568/getInfo.php?workbook=11_01.xlsx&amp;sheet=A0&amp;row=237&amp;col=21&amp;number=1600000&amp;sourceID=30","1600000")</f>
        <v>1600000</v>
      </c>
      <c r="V237" s="4" t="str">
        <f>HYPERLINK("http://141.218.60.56/~jnz1568/getInfo.php?workbook=11_01.xlsx&amp;sheet=A0&amp;row=237&amp;col=22&amp;number=&amp;sourceID=30","")</f>
        <v/>
      </c>
      <c r="W237" s="4" t="str">
        <f>HYPERLINK("http://141.218.60.56/~jnz1568/getInfo.php?workbook=11_01.xlsx&amp;sheet=A0&amp;row=237&amp;col=23&amp;number=1600000&amp;sourceID=30","1600000")</f>
        <v>1600000</v>
      </c>
      <c r="X237" s="4" t="str">
        <f>HYPERLINK("http://141.218.60.56/~jnz1568/getInfo.php?workbook=11_01.xlsx&amp;sheet=A0&amp;row=237&amp;col=24&amp;number=&amp;sourceID=30","")</f>
        <v/>
      </c>
      <c r="Y237" s="4" t="str">
        <f>HYPERLINK("http://141.218.60.56/~jnz1568/getInfo.php?workbook=11_01.xlsx&amp;sheet=A0&amp;row=237&amp;col=25&amp;number=&amp;sourceID=30","")</f>
        <v/>
      </c>
      <c r="Z237" s="4" t="str">
        <f>HYPERLINK("http://141.218.60.56/~jnz1568/getInfo.php?workbook=11_01.xlsx&amp;sheet=A0&amp;row=237&amp;col=26&amp;number=&amp;sourceID=13","")</f>
        <v/>
      </c>
      <c r="AA237" s="4" t="str">
        <f>HYPERLINK("http://141.218.60.56/~jnz1568/getInfo.php?workbook=11_01.xlsx&amp;sheet=A0&amp;row=237&amp;col=27&amp;number=&amp;sourceID=13","")</f>
        <v/>
      </c>
      <c r="AB237" s="4" t="str">
        <f>HYPERLINK("http://141.218.60.56/~jnz1568/getInfo.php?workbook=11_01.xlsx&amp;sheet=A0&amp;row=237&amp;col=28&amp;number=&amp;sourceID=13","")</f>
        <v/>
      </c>
      <c r="AC237" s="4" t="str">
        <f>HYPERLINK("http://141.218.60.56/~jnz1568/getInfo.php?workbook=11_01.xlsx&amp;sheet=A0&amp;row=237&amp;col=29&amp;number=&amp;sourceID=13","")</f>
        <v/>
      </c>
      <c r="AD237" s="4" t="str">
        <f>HYPERLINK("http://141.218.60.56/~jnz1568/getInfo.php?workbook=11_01.xlsx&amp;sheet=A0&amp;row=237&amp;col=30&amp;number=&amp;sourceID=13","")</f>
        <v/>
      </c>
      <c r="AE237" s="4" t="str">
        <f>HYPERLINK("http://141.218.60.56/~jnz1568/getInfo.php?workbook=11_01.xlsx&amp;sheet=A0&amp;row=237&amp;col=31&amp;number=&amp;sourceID=13","")</f>
        <v/>
      </c>
    </row>
    <row r="238" spans="1:31">
      <c r="A238" s="3">
        <v>11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HYPERLINK("http://141.218.60.56/~jnz1568/getInfo.php?workbook=11_01.xlsx&amp;sheet=A0&amp;row=238&amp;col=6&amp;number=&amp;sourceID=18","")</f>
        <v/>
      </c>
      <c r="G238" s="4" t="str">
        <f>HYPERLINK("http://141.218.60.56/~jnz1568/getInfo.php?workbook=11_01.xlsx&amp;sheet=A0&amp;row=238&amp;col=7&amp;number==&amp;sourceID=11","=")</f>
        <v>=</v>
      </c>
      <c r="H238" s="4" t="str">
        <f>HYPERLINK("http://141.218.60.56/~jnz1568/getInfo.php?workbook=11_01.xlsx&amp;sheet=A0&amp;row=238&amp;col=8&amp;number=&amp;sourceID=11","")</f>
        <v/>
      </c>
      <c r="I238" s="4" t="str">
        <f>HYPERLINK("http://141.218.60.56/~jnz1568/getInfo.php?workbook=11_01.xlsx&amp;sheet=A0&amp;row=238&amp;col=9&amp;number=&amp;sourceID=11","")</f>
        <v/>
      </c>
      <c r="J238" s="4" t="str">
        <f>HYPERLINK("http://141.218.60.56/~jnz1568/getInfo.php?workbook=11_01.xlsx&amp;sheet=A0&amp;row=238&amp;col=10&amp;number=7.0281&amp;sourceID=11","7.0281")</f>
        <v>7.0281</v>
      </c>
      <c r="K238" s="4" t="str">
        <f>HYPERLINK("http://141.218.60.56/~jnz1568/getInfo.php?workbook=11_01.xlsx&amp;sheet=A0&amp;row=238&amp;col=11&amp;number=&amp;sourceID=11","")</f>
        <v/>
      </c>
      <c r="L238" s="4" t="str">
        <f>HYPERLINK("http://141.218.60.56/~jnz1568/getInfo.php?workbook=11_01.xlsx&amp;sheet=A0&amp;row=238&amp;col=12&amp;number=3.0998e-08&amp;sourceID=11","3.0998e-08")</f>
        <v>3.0998e-08</v>
      </c>
      <c r="M238" s="4" t="str">
        <f>HYPERLINK("http://141.218.60.56/~jnz1568/getInfo.php?workbook=11_01.xlsx&amp;sheet=A0&amp;row=238&amp;col=13&amp;number=&amp;sourceID=11","")</f>
        <v/>
      </c>
      <c r="N238" s="4" t="str">
        <f>HYPERLINK("http://141.218.60.56/~jnz1568/getInfo.php?workbook=11_01.xlsx&amp;sheet=A0&amp;row=238&amp;col=14&amp;number=7.0283&amp;sourceID=12","7.0283")</f>
        <v>7.0283</v>
      </c>
      <c r="O238" s="4" t="str">
        <f>HYPERLINK("http://141.218.60.56/~jnz1568/getInfo.php?workbook=11_01.xlsx&amp;sheet=A0&amp;row=238&amp;col=15&amp;number=&amp;sourceID=12","")</f>
        <v/>
      </c>
      <c r="P238" s="4" t="str">
        <f>HYPERLINK("http://141.218.60.56/~jnz1568/getInfo.php?workbook=11_01.xlsx&amp;sheet=A0&amp;row=238&amp;col=16&amp;number=&amp;sourceID=12","")</f>
        <v/>
      </c>
      <c r="Q238" s="4" t="str">
        <f>HYPERLINK("http://141.218.60.56/~jnz1568/getInfo.php?workbook=11_01.xlsx&amp;sheet=A0&amp;row=238&amp;col=17&amp;number=7.0283&amp;sourceID=12","7.0283")</f>
        <v>7.0283</v>
      </c>
      <c r="R238" s="4" t="str">
        <f>HYPERLINK("http://141.218.60.56/~jnz1568/getInfo.php?workbook=11_01.xlsx&amp;sheet=A0&amp;row=238&amp;col=18&amp;number=&amp;sourceID=12","")</f>
        <v/>
      </c>
      <c r="S238" s="4" t="str">
        <f>HYPERLINK("http://141.218.60.56/~jnz1568/getInfo.php?workbook=11_01.xlsx&amp;sheet=A0&amp;row=238&amp;col=19&amp;number=3.0997e-08&amp;sourceID=12","3.0997e-08")</f>
        <v>3.0997e-08</v>
      </c>
      <c r="T238" s="4" t="str">
        <f>HYPERLINK("http://141.218.60.56/~jnz1568/getInfo.php?workbook=11_01.xlsx&amp;sheet=A0&amp;row=238&amp;col=20&amp;number=&amp;sourceID=12","")</f>
        <v/>
      </c>
      <c r="U238" s="4" t="str">
        <f>HYPERLINK("http://141.218.60.56/~jnz1568/getInfo.php?workbook=11_01.xlsx&amp;sheet=A0&amp;row=238&amp;col=21&amp;number=3.103e-08&amp;sourceID=30","3.103e-08")</f>
        <v>3.103e-08</v>
      </c>
      <c r="V238" s="4" t="str">
        <f>HYPERLINK("http://141.218.60.56/~jnz1568/getInfo.php?workbook=11_01.xlsx&amp;sheet=A0&amp;row=238&amp;col=22&amp;number=&amp;sourceID=30","")</f>
        <v/>
      </c>
      <c r="W238" s="4" t="str">
        <f>HYPERLINK("http://141.218.60.56/~jnz1568/getInfo.php?workbook=11_01.xlsx&amp;sheet=A0&amp;row=238&amp;col=23&amp;number=&amp;sourceID=30","")</f>
        <v/>
      </c>
      <c r="X238" s="4" t="str">
        <f>HYPERLINK("http://141.218.60.56/~jnz1568/getInfo.php?workbook=11_01.xlsx&amp;sheet=A0&amp;row=238&amp;col=24&amp;number=&amp;sourceID=30","")</f>
        <v/>
      </c>
      <c r="Y238" s="4" t="str">
        <f>HYPERLINK("http://141.218.60.56/~jnz1568/getInfo.php?workbook=11_01.xlsx&amp;sheet=A0&amp;row=238&amp;col=25&amp;number=3.103e-08&amp;sourceID=30","3.103e-08")</f>
        <v>3.103e-08</v>
      </c>
      <c r="Z238" s="4" t="str">
        <f>HYPERLINK("http://141.218.60.56/~jnz1568/getInfo.php?workbook=11_01.xlsx&amp;sheet=A0&amp;row=238&amp;col=26&amp;number=&amp;sourceID=13","")</f>
        <v/>
      </c>
      <c r="AA238" s="4" t="str">
        <f>HYPERLINK("http://141.218.60.56/~jnz1568/getInfo.php?workbook=11_01.xlsx&amp;sheet=A0&amp;row=238&amp;col=27&amp;number=&amp;sourceID=13","")</f>
        <v/>
      </c>
      <c r="AB238" s="4" t="str">
        <f>HYPERLINK("http://141.218.60.56/~jnz1568/getInfo.php?workbook=11_01.xlsx&amp;sheet=A0&amp;row=238&amp;col=28&amp;number=&amp;sourceID=13","")</f>
        <v/>
      </c>
      <c r="AC238" s="4" t="str">
        <f>HYPERLINK("http://141.218.60.56/~jnz1568/getInfo.php?workbook=11_01.xlsx&amp;sheet=A0&amp;row=238&amp;col=29&amp;number=&amp;sourceID=13","")</f>
        <v/>
      </c>
      <c r="AD238" s="4" t="str">
        <f>HYPERLINK("http://141.218.60.56/~jnz1568/getInfo.php?workbook=11_01.xlsx&amp;sheet=A0&amp;row=238&amp;col=30&amp;number=&amp;sourceID=13","")</f>
        <v/>
      </c>
      <c r="AE238" s="4" t="str">
        <f>HYPERLINK("http://141.218.60.56/~jnz1568/getInfo.php?workbook=11_01.xlsx&amp;sheet=A0&amp;row=238&amp;col=31&amp;number=&amp;sourceID=13","")</f>
        <v/>
      </c>
    </row>
    <row r="239" spans="1:31">
      <c r="A239" s="3">
        <v>11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HYPERLINK("http://141.218.60.56/~jnz1568/getInfo.php?workbook=11_01.xlsx&amp;sheet=A0&amp;row=239&amp;col=6&amp;number=&amp;sourceID=18","")</f>
        <v/>
      </c>
      <c r="G239" s="4" t="str">
        <f>HYPERLINK("http://141.218.60.56/~jnz1568/getInfo.php?workbook=11_01.xlsx&amp;sheet=A0&amp;row=239&amp;col=7&amp;number==&amp;sourceID=11","=")</f>
        <v>=</v>
      </c>
      <c r="H239" s="4" t="str">
        <f>HYPERLINK("http://141.218.60.56/~jnz1568/getInfo.php?workbook=11_01.xlsx&amp;sheet=A0&amp;row=239&amp;col=8&amp;number=60112000000&amp;sourceID=11","60112000000")</f>
        <v>60112000000</v>
      </c>
      <c r="I239" s="4" t="str">
        <f>HYPERLINK("http://141.218.60.56/~jnz1568/getInfo.php?workbook=11_01.xlsx&amp;sheet=A0&amp;row=239&amp;col=9&amp;number=&amp;sourceID=11","")</f>
        <v/>
      </c>
      <c r="J239" s="4" t="str">
        <f>HYPERLINK("http://141.218.60.56/~jnz1568/getInfo.php?workbook=11_01.xlsx&amp;sheet=A0&amp;row=239&amp;col=10&amp;number=7.1951&amp;sourceID=11","7.1951")</f>
        <v>7.1951</v>
      </c>
      <c r="K239" s="4" t="str">
        <f>HYPERLINK("http://141.218.60.56/~jnz1568/getInfo.php?workbook=11_01.xlsx&amp;sheet=A0&amp;row=239&amp;col=11&amp;number=&amp;sourceID=11","")</f>
        <v/>
      </c>
      <c r="L239" s="4" t="str">
        <f>HYPERLINK("http://141.218.60.56/~jnz1568/getInfo.php?workbook=11_01.xlsx&amp;sheet=A0&amp;row=239&amp;col=12&amp;number=35.849&amp;sourceID=11","35.849")</f>
        <v>35.849</v>
      </c>
      <c r="M239" s="4" t="str">
        <f>HYPERLINK("http://141.218.60.56/~jnz1568/getInfo.php?workbook=11_01.xlsx&amp;sheet=A0&amp;row=239&amp;col=13&amp;number=&amp;sourceID=11","")</f>
        <v/>
      </c>
      <c r="N239" s="4" t="str">
        <f>HYPERLINK("http://141.218.60.56/~jnz1568/getInfo.php?workbook=11_01.xlsx&amp;sheet=A0&amp;row=239&amp;col=14&amp;number=60114000000&amp;sourceID=12","60114000000")</f>
        <v>60114000000</v>
      </c>
      <c r="O239" s="4" t="str">
        <f>HYPERLINK("http://141.218.60.56/~jnz1568/getInfo.php?workbook=11_01.xlsx&amp;sheet=A0&amp;row=239&amp;col=15&amp;number=60114000000&amp;sourceID=12","60114000000")</f>
        <v>60114000000</v>
      </c>
      <c r="P239" s="4" t="str">
        <f>HYPERLINK("http://141.218.60.56/~jnz1568/getInfo.php?workbook=11_01.xlsx&amp;sheet=A0&amp;row=239&amp;col=16&amp;number=&amp;sourceID=12","")</f>
        <v/>
      </c>
      <c r="Q239" s="4" t="str">
        <f>HYPERLINK("http://141.218.60.56/~jnz1568/getInfo.php?workbook=11_01.xlsx&amp;sheet=A0&amp;row=239&amp;col=17&amp;number=7.1953&amp;sourceID=12","7.1953")</f>
        <v>7.1953</v>
      </c>
      <c r="R239" s="4" t="str">
        <f>HYPERLINK("http://141.218.60.56/~jnz1568/getInfo.php?workbook=11_01.xlsx&amp;sheet=A0&amp;row=239&amp;col=18&amp;number=&amp;sourceID=12","")</f>
        <v/>
      </c>
      <c r="S239" s="4" t="str">
        <f>HYPERLINK("http://141.218.60.56/~jnz1568/getInfo.php?workbook=11_01.xlsx&amp;sheet=A0&amp;row=239&amp;col=19&amp;number=35.85&amp;sourceID=12","35.85")</f>
        <v>35.85</v>
      </c>
      <c r="T239" s="4" t="str">
        <f>HYPERLINK("http://141.218.60.56/~jnz1568/getInfo.php?workbook=11_01.xlsx&amp;sheet=A0&amp;row=239&amp;col=20&amp;number=&amp;sourceID=12","")</f>
        <v/>
      </c>
      <c r="U239" s="4" t="str">
        <f>HYPERLINK("http://141.218.60.56/~jnz1568/getInfo.php?workbook=11_01.xlsx&amp;sheet=A0&amp;row=239&amp;col=21&amp;number=60110000035.8&amp;sourceID=30","60110000035.8")</f>
        <v>60110000035.8</v>
      </c>
      <c r="V239" s="4" t="str">
        <f>HYPERLINK("http://141.218.60.56/~jnz1568/getInfo.php?workbook=11_01.xlsx&amp;sheet=A0&amp;row=239&amp;col=22&amp;number=60110000000&amp;sourceID=30","60110000000")</f>
        <v>60110000000</v>
      </c>
      <c r="W239" s="4" t="str">
        <f>HYPERLINK("http://141.218.60.56/~jnz1568/getInfo.php?workbook=11_01.xlsx&amp;sheet=A0&amp;row=239&amp;col=23&amp;number=&amp;sourceID=30","")</f>
        <v/>
      </c>
      <c r="X239" s="4" t="str">
        <f>HYPERLINK("http://141.218.60.56/~jnz1568/getInfo.php?workbook=11_01.xlsx&amp;sheet=A0&amp;row=239&amp;col=24&amp;number=&amp;sourceID=30","")</f>
        <v/>
      </c>
      <c r="Y239" s="4" t="str">
        <f>HYPERLINK("http://141.218.60.56/~jnz1568/getInfo.php?workbook=11_01.xlsx&amp;sheet=A0&amp;row=239&amp;col=25&amp;number=35.85&amp;sourceID=30","35.85")</f>
        <v>35.85</v>
      </c>
      <c r="Z239" s="4" t="str">
        <f>HYPERLINK("http://141.218.60.56/~jnz1568/getInfo.php?workbook=11_01.xlsx&amp;sheet=A0&amp;row=239&amp;col=26&amp;number=&amp;sourceID=13","")</f>
        <v/>
      </c>
      <c r="AA239" s="4" t="str">
        <f>HYPERLINK("http://141.218.60.56/~jnz1568/getInfo.php?workbook=11_01.xlsx&amp;sheet=A0&amp;row=239&amp;col=27&amp;number=&amp;sourceID=13","")</f>
        <v/>
      </c>
      <c r="AB239" s="4" t="str">
        <f>HYPERLINK("http://141.218.60.56/~jnz1568/getInfo.php?workbook=11_01.xlsx&amp;sheet=A0&amp;row=239&amp;col=28&amp;number=&amp;sourceID=13","")</f>
        <v/>
      </c>
      <c r="AC239" s="4" t="str">
        <f>HYPERLINK("http://141.218.60.56/~jnz1568/getInfo.php?workbook=11_01.xlsx&amp;sheet=A0&amp;row=239&amp;col=29&amp;number=&amp;sourceID=13","")</f>
        <v/>
      </c>
      <c r="AD239" s="4" t="str">
        <f>HYPERLINK("http://141.218.60.56/~jnz1568/getInfo.php?workbook=11_01.xlsx&amp;sheet=A0&amp;row=239&amp;col=30&amp;number=&amp;sourceID=13","")</f>
        <v/>
      </c>
      <c r="AE239" s="4" t="str">
        <f>HYPERLINK("http://141.218.60.56/~jnz1568/getInfo.php?workbook=11_01.xlsx&amp;sheet=A0&amp;row=239&amp;col=31&amp;number=&amp;sourceID=13","")</f>
        <v/>
      </c>
    </row>
    <row r="240" spans="1:31">
      <c r="A240" s="3">
        <v>11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HYPERLINK("http://141.218.60.56/~jnz1568/getInfo.php?workbook=11_01.xlsx&amp;sheet=A0&amp;row=240&amp;col=6&amp;number=&amp;sourceID=18","")</f>
        <v/>
      </c>
      <c r="G240" s="4" t="str">
        <f>HYPERLINK("http://141.218.60.56/~jnz1568/getInfo.php?workbook=11_01.xlsx&amp;sheet=A0&amp;row=240&amp;col=7&amp;number==&amp;sourceID=11","=")</f>
        <v>=</v>
      </c>
      <c r="H240" s="4" t="str">
        <f>HYPERLINK("http://141.218.60.56/~jnz1568/getInfo.php?workbook=11_01.xlsx&amp;sheet=A0&amp;row=240&amp;col=8&amp;number=&amp;sourceID=11","")</f>
        <v/>
      </c>
      <c r="I240" s="4" t="str">
        <f>HYPERLINK("http://141.218.60.56/~jnz1568/getInfo.php?workbook=11_01.xlsx&amp;sheet=A0&amp;row=240&amp;col=9&amp;number=177230&amp;sourceID=11","177230")</f>
        <v>177230</v>
      </c>
      <c r="J240" s="4" t="str">
        <f>HYPERLINK("http://141.218.60.56/~jnz1568/getInfo.php?workbook=11_01.xlsx&amp;sheet=A0&amp;row=240&amp;col=10&amp;number=&amp;sourceID=11","")</f>
        <v/>
      </c>
      <c r="K240" s="4" t="str">
        <f>HYPERLINK("http://141.218.60.56/~jnz1568/getInfo.php?workbook=11_01.xlsx&amp;sheet=A0&amp;row=240&amp;col=11&amp;number=0.0013909&amp;sourceID=11","0.0013909")</f>
        <v>0.0013909</v>
      </c>
      <c r="L240" s="4" t="str">
        <f>HYPERLINK("http://141.218.60.56/~jnz1568/getInfo.php?workbook=11_01.xlsx&amp;sheet=A0&amp;row=240&amp;col=12&amp;number=&amp;sourceID=11","")</f>
        <v/>
      </c>
      <c r="M240" s="4" t="str">
        <f>HYPERLINK("http://141.218.60.56/~jnz1568/getInfo.php?workbook=11_01.xlsx&amp;sheet=A0&amp;row=240&amp;col=13&amp;number=7.3978e-06&amp;sourceID=11","7.3978e-06")</f>
        <v>7.3978e-06</v>
      </c>
      <c r="N240" s="4" t="str">
        <f>HYPERLINK("http://141.218.60.56/~jnz1568/getInfo.php?workbook=11_01.xlsx&amp;sheet=A0&amp;row=240&amp;col=14&amp;number=177240&amp;sourceID=12","177240")</f>
        <v>177240</v>
      </c>
      <c r="O240" s="4" t="str">
        <f>HYPERLINK("http://141.218.60.56/~jnz1568/getInfo.php?workbook=11_01.xlsx&amp;sheet=A0&amp;row=240&amp;col=15&amp;number=&amp;sourceID=12","")</f>
        <v/>
      </c>
      <c r="P240" s="4" t="str">
        <f>HYPERLINK("http://141.218.60.56/~jnz1568/getInfo.php?workbook=11_01.xlsx&amp;sheet=A0&amp;row=240&amp;col=16&amp;number=177240&amp;sourceID=12","177240")</f>
        <v>177240</v>
      </c>
      <c r="Q240" s="4" t="str">
        <f>HYPERLINK("http://141.218.60.56/~jnz1568/getInfo.php?workbook=11_01.xlsx&amp;sheet=A0&amp;row=240&amp;col=17&amp;number=&amp;sourceID=12","")</f>
        <v/>
      </c>
      <c r="R240" s="4" t="str">
        <f>HYPERLINK("http://141.218.60.56/~jnz1568/getInfo.php?workbook=11_01.xlsx&amp;sheet=A0&amp;row=240&amp;col=18&amp;number=0.0013909&amp;sourceID=12","0.0013909")</f>
        <v>0.0013909</v>
      </c>
      <c r="S240" s="4" t="str">
        <f>HYPERLINK("http://141.218.60.56/~jnz1568/getInfo.php?workbook=11_01.xlsx&amp;sheet=A0&amp;row=240&amp;col=19&amp;number=&amp;sourceID=12","")</f>
        <v/>
      </c>
      <c r="T240" s="4" t="str">
        <f>HYPERLINK("http://141.218.60.56/~jnz1568/getInfo.php?workbook=11_01.xlsx&amp;sheet=A0&amp;row=240&amp;col=20&amp;number=7.398e-06&amp;sourceID=12","7.398e-06")</f>
        <v>7.398e-06</v>
      </c>
      <c r="U240" s="4" t="str">
        <f>HYPERLINK("http://141.218.60.56/~jnz1568/getInfo.php?workbook=11_01.xlsx&amp;sheet=A0&amp;row=240&amp;col=21&amp;number=177200.001391&amp;sourceID=30","177200.001391")</f>
        <v>177200.001391</v>
      </c>
      <c r="V240" s="4" t="str">
        <f>HYPERLINK("http://141.218.60.56/~jnz1568/getInfo.php?workbook=11_01.xlsx&amp;sheet=A0&amp;row=240&amp;col=22&amp;number=&amp;sourceID=30","")</f>
        <v/>
      </c>
      <c r="W240" s="4" t="str">
        <f>HYPERLINK("http://141.218.60.56/~jnz1568/getInfo.php?workbook=11_01.xlsx&amp;sheet=A0&amp;row=240&amp;col=23&amp;number=177200&amp;sourceID=30","177200")</f>
        <v>177200</v>
      </c>
      <c r="X240" s="4" t="str">
        <f>HYPERLINK("http://141.218.60.56/~jnz1568/getInfo.php?workbook=11_01.xlsx&amp;sheet=A0&amp;row=240&amp;col=24&amp;number=0.001391&amp;sourceID=30","0.001391")</f>
        <v>0.001391</v>
      </c>
      <c r="Y240" s="4" t="str">
        <f>HYPERLINK("http://141.218.60.56/~jnz1568/getInfo.php?workbook=11_01.xlsx&amp;sheet=A0&amp;row=240&amp;col=25&amp;number=&amp;sourceID=30","")</f>
        <v/>
      </c>
      <c r="Z240" s="4" t="str">
        <f>HYPERLINK("http://141.218.60.56/~jnz1568/getInfo.php?workbook=11_01.xlsx&amp;sheet=A0&amp;row=240&amp;col=26&amp;number=&amp;sourceID=13","")</f>
        <v/>
      </c>
      <c r="AA240" s="4" t="str">
        <f>HYPERLINK("http://141.218.60.56/~jnz1568/getInfo.php?workbook=11_01.xlsx&amp;sheet=A0&amp;row=240&amp;col=27&amp;number=&amp;sourceID=13","")</f>
        <v/>
      </c>
      <c r="AB240" s="4" t="str">
        <f>HYPERLINK("http://141.218.60.56/~jnz1568/getInfo.php?workbook=11_01.xlsx&amp;sheet=A0&amp;row=240&amp;col=28&amp;number=&amp;sourceID=13","")</f>
        <v/>
      </c>
      <c r="AC240" s="4" t="str">
        <f>HYPERLINK("http://141.218.60.56/~jnz1568/getInfo.php?workbook=11_01.xlsx&amp;sheet=A0&amp;row=240&amp;col=29&amp;number=&amp;sourceID=13","")</f>
        <v/>
      </c>
      <c r="AD240" s="4" t="str">
        <f>HYPERLINK("http://141.218.60.56/~jnz1568/getInfo.php?workbook=11_01.xlsx&amp;sheet=A0&amp;row=240&amp;col=30&amp;number=&amp;sourceID=13","")</f>
        <v/>
      </c>
      <c r="AE240" s="4" t="str">
        <f>HYPERLINK("http://141.218.60.56/~jnz1568/getInfo.php?workbook=11_01.xlsx&amp;sheet=A0&amp;row=240&amp;col=31&amp;number=&amp;sourceID=13","")</f>
        <v/>
      </c>
    </row>
    <row r="241" spans="1:31">
      <c r="A241" s="3">
        <v>11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HYPERLINK("http://141.218.60.56/~jnz1568/getInfo.php?workbook=11_01.xlsx&amp;sheet=A0&amp;row=241&amp;col=6&amp;number=&amp;sourceID=18","")</f>
        <v/>
      </c>
      <c r="G241" s="4" t="str">
        <f>HYPERLINK("http://141.218.60.56/~jnz1568/getInfo.php?workbook=11_01.xlsx&amp;sheet=A0&amp;row=241&amp;col=7&amp;number==&amp;sourceID=11","=")</f>
        <v>=</v>
      </c>
      <c r="H241" s="4" t="str">
        <f>HYPERLINK("http://141.218.60.56/~jnz1568/getInfo.php?workbook=11_01.xlsx&amp;sheet=A0&amp;row=241&amp;col=8&amp;number=2225000000&amp;sourceID=11","2225000000")</f>
        <v>2225000000</v>
      </c>
      <c r="I241" s="4" t="str">
        <f>HYPERLINK("http://141.218.60.56/~jnz1568/getInfo.php?workbook=11_01.xlsx&amp;sheet=A0&amp;row=241&amp;col=9&amp;number=&amp;sourceID=11","")</f>
        <v/>
      </c>
      <c r="J241" s="4" t="str">
        <f>HYPERLINK("http://141.218.60.56/~jnz1568/getInfo.php?workbook=11_01.xlsx&amp;sheet=A0&amp;row=241&amp;col=10&amp;number=1.9588&amp;sourceID=11","1.9588")</f>
        <v>1.9588</v>
      </c>
      <c r="K241" s="4" t="str">
        <f>HYPERLINK("http://141.218.60.56/~jnz1568/getInfo.php?workbook=11_01.xlsx&amp;sheet=A0&amp;row=241&amp;col=11&amp;number=&amp;sourceID=11","")</f>
        <v/>
      </c>
      <c r="L241" s="4" t="str">
        <f>HYPERLINK("http://141.218.60.56/~jnz1568/getInfo.php?workbook=11_01.xlsx&amp;sheet=A0&amp;row=241&amp;col=12&amp;number=&amp;sourceID=11","")</f>
        <v/>
      </c>
      <c r="M241" s="4" t="str">
        <f>HYPERLINK("http://141.218.60.56/~jnz1568/getInfo.php?workbook=11_01.xlsx&amp;sheet=A0&amp;row=241&amp;col=13&amp;number=&amp;sourceID=11","")</f>
        <v/>
      </c>
      <c r="N241" s="4" t="str">
        <f>HYPERLINK("http://141.218.60.56/~jnz1568/getInfo.php?workbook=11_01.xlsx&amp;sheet=A0&amp;row=241&amp;col=14&amp;number=2225100000&amp;sourceID=12","2225100000")</f>
        <v>2225100000</v>
      </c>
      <c r="O241" s="4" t="str">
        <f>HYPERLINK("http://141.218.60.56/~jnz1568/getInfo.php?workbook=11_01.xlsx&amp;sheet=A0&amp;row=241&amp;col=15&amp;number=2225100000&amp;sourceID=12","2225100000")</f>
        <v>2225100000</v>
      </c>
      <c r="P241" s="4" t="str">
        <f>HYPERLINK("http://141.218.60.56/~jnz1568/getInfo.php?workbook=11_01.xlsx&amp;sheet=A0&amp;row=241&amp;col=16&amp;number=&amp;sourceID=12","")</f>
        <v/>
      </c>
      <c r="Q241" s="4" t="str">
        <f>HYPERLINK("http://141.218.60.56/~jnz1568/getInfo.php?workbook=11_01.xlsx&amp;sheet=A0&amp;row=241&amp;col=17&amp;number=1.9588&amp;sourceID=12","1.9588")</f>
        <v>1.9588</v>
      </c>
      <c r="R241" s="4" t="str">
        <f>HYPERLINK("http://141.218.60.56/~jnz1568/getInfo.php?workbook=11_01.xlsx&amp;sheet=A0&amp;row=241&amp;col=18&amp;number=&amp;sourceID=12","")</f>
        <v/>
      </c>
      <c r="S241" s="4" t="str">
        <f>HYPERLINK("http://141.218.60.56/~jnz1568/getInfo.php?workbook=11_01.xlsx&amp;sheet=A0&amp;row=241&amp;col=19&amp;number=&amp;sourceID=12","")</f>
        <v/>
      </c>
      <c r="T241" s="4" t="str">
        <f>HYPERLINK("http://141.218.60.56/~jnz1568/getInfo.php?workbook=11_01.xlsx&amp;sheet=A0&amp;row=241&amp;col=20&amp;number=&amp;sourceID=12","")</f>
        <v/>
      </c>
      <c r="U241" s="4" t="str">
        <f>HYPERLINK("http://141.218.60.56/~jnz1568/getInfo.php?workbook=11_01.xlsx&amp;sheet=A0&amp;row=241&amp;col=21&amp;number=2225000000&amp;sourceID=30","2225000000")</f>
        <v>2225000000</v>
      </c>
      <c r="V241" s="4" t="str">
        <f>HYPERLINK("http://141.218.60.56/~jnz1568/getInfo.php?workbook=11_01.xlsx&amp;sheet=A0&amp;row=241&amp;col=22&amp;number=2225000000&amp;sourceID=30","2225000000")</f>
        <v>2225000000</v>
      </c>
      <c r="W241" s="4" t="str">
        <f>HYPERLINK("http://141.218.60.56/~jnz1568/getInfo.php?workbook=11_01.xlsx&amp;sheet=A0&amp;row=241&amp;col=23&amp;number=&amp;sourceID=30","")</f>
        <v/>
      </c>
      <c r="X241" s="4" t="str">
        <f>HYPERLINK("http://141.218.60.56/~jnz1568/getInfo.php?workbook=11_01.xlsx&amp;sheet=A0&amp;row=241&amp;col=24&amp;number=&amp;sourceID=30","")</f>
        <v/>
      </c>
      <c r="Y241" s="4" t="str">
        <f>HYPERLINK("http://141.218.60.56/~jnz1568/getInfo.php?workbook=11_01.xlsx&amp;sheet=A0&amp;row=241&amp;col=25&amp;number=&amp;sourceID=30","")</f>
        <v/>
      </c>
      <c r="Z241" s="4" t="str">
        <f>HYPERLINK("http://141.218.60.56/~jnz1568/getInfo.php?workbook=11_01.xlsx&amp;sheet=A0&amp;row=241&amp;col=26&amp;number=&amp;sourceID=13","")</f>
        <v/>
      </c>
      <c r="AA241" s="4" t="str">
        <f>HYPERLINK("http://141.218.60.56/~jnz1568/getInfo.php?workbook=11_01.xlsx&amp;sheet=A0&amp;row=241&amp;col=27&amp;number=&amp;sourceID=13","")</f>
        <v/>
      </c>
      <c r="AB241" s="4" t="str">
        <f>HYPERLINK("http://141.218.60.56/~jnz1568/getInfo.php?workbook=11_01.xlsx&amp;sheet=A0&amp;row=241&amp;col=28&amp;number=&amp;sourceID=13","")</f>
        <v/>
      </c>
      <c r="AC241" s="4" t="str">
        <f>HYPERLINK("http://141.218.60.56/~jnz1568/getInfo.php?workbook=11_01.xlsx&amp;sheet=A0&amp;row=241&amp;col=29&amp;number=&amp;sourceID=13","")</f>
        <v/>
      </c>
      <c r="AD241" s="4" t="str">
        <f>HYPERLINK("http://141.218.60.56/~jnz1568/getInfo.php?workbook=11_01.xlsx&amp;sheet=A0&amp;row=241&amp;col=30&amp;number=&amp;sourceID=13","")</f>
        <v/>
      </c>
      <c r="AE241" s="4" t="str">
        <f>HYPERLINK("http://141.218.60.56/~jnz1568/getInfo.php?workbook=11_01.xlsx&amp;sheet=A0&amp;row=241&amp;col=31&amp;number=&amp;sourceID=13","")</f>
        <v/>
      </c>
    </row>
    <row r="242" spans="1:31">
      <c r="A242" s="3">
        <v>11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HYPERLINK("http://141.218.60.56/~jnz1568/getInfo.php?workbook=11_01.xlsx&amp;sheet=A0&amp;row=242&amp;col=6&amp;number=&amp;sourceID=18","")</f>
        <v/>
      </c>
      <c r="G242" s="4" t="str">
        <f>HYPERLINK("http://141.218.60.56/~jnz1568/getInfo.php?workbook=11_01.xlsx&amp;sheet=A0&amp;row=242&amp;col=7&amp;number==&amp;sourceID=11","=")</f>
        <v>=</v>
      </c>
      <c r="H242" s="4" t="str">
        <f>HYPERLINK("http://141.218.60.56/~jnz1568/getInfo.php?workbook=11_01.xlsx&amp;sheet=A0&amp;row=242&amp;col=8&amp;number=&amp;sourceID=11","")</f>
        <v/>
      </c>
      <c r="I242" s="4" t="str">
        <f>HYPERLINK("http://141.218.60.56/~jnz1568/getInfo.php?workbook=11_01.xlsx&amp;sheet=A0&amp;row=242&amp;col=9&amp;number=&amp;sourceID=11","")</f>
        <v/>
      </c>
      <c r="J242" s="4" t="str">
        <f>HYPERLINK("http://141.218.60.56/~jnz1568/getInfo.php?workbook=11_01.xlsx&amp;sheet=A0&amp;row=242&amp;col=10&amp;number=0&amp;sourceID=11","0")</f>
        <v>0</v>
      </c>
      <c r="K242" s="4" t="str">
        <f>HYPERLINK("http://141.218.60.56/~jnz1568/getInfo.php?workbook=11_01.xlsx&amp;sheet=A0&amp;row=242&amp;col=11&amp;number=&amp;sourceID=11","")</f>
        <v/>
      </c>
      <c r="L242" s="4" t="str">
        <f>HYPERLINK("http://141.218.60.56/~jnz1568/getInfo.php?workbook=11_01.xlsx&amp;sheet=A0&amp;row=242&amp;col=12&amp;number=&amp;sourceID=11","")</f>
        <v/>
      </c>
      <c r="M242" s="4" t="str">
        <f>HYPERLINK("http://141.218.60.56/~jnz1568/getInfo.php?workbook=11_01.xlsx&amp;sheet=A0&amp;row=242&amp;col=13&amp;number=&amp;sourceID=11","")</f>
        <v/>
      </c>
      <c r="N242" s="4" t="str">
        <f>HYPERLINK("http://141.218.60.56/~jnz1568/getInfo.php?workbook=11_01.xlsx&amp;sheet=A0&amp;row=242&amp;col=14&amp;number=0&amp;sourceID=12","0")</f>
        <v>0</v>
      </c>
      <c r="O242" s="4" t="str">
        <f>HYPERLINK("http://141.218.60.56/~jnz1568/getInfo.php?workbook=11_01.xlsx&amp;sheet=A0&amp;row=242&amp;col=15&amp;number=&amp;sourceID=12","")</f>
        <v/>
      </c>
      <c r="P242" s="4" t="str">
        <f>HYPERLINK("http://141.218.60.56/~jnz1568/getInfo.php?workbook=11_01.xlsx&amp;sheet=A0&amp;row=242&amp;col=16&amp;number=&amp;sourceID=12","")</f>
        <v/>
      </c>
      <c r="Q242" s="4" t="str">
        <f>HYPERLINK("http://141.218.60.56/~jnz1568/getInfo.php?workbook=11_01.xlsx&amp;sheet=A0&amp;row=242&amp;col=17&amp;number=0&amp;sourceID=12","0")</f>
        <v>0</v>
      </c>
      <c r="R242" s="4" t="str">
        <f>HYPERLINK("http://141.218.60.56/~jnz1568/getInfo.php?workbook=11_01.xlsx&amp;sheet=A0&amp;row=242&amp;col=18&amp;number=&amp;sourceID=12","")</f>
        <v/>
      </c>
      <c r="S242" s="4" t="str">
        <f>HYPERLINK("http://141.218.60.56/~jnz1568/getInfo.php?workbook=11_01.xlsx&amp;sheet=A0&amp;row=242&amp;col=19&amp;number=&amp;sourceID=12","")</f>
        <v/>
      </c>
      <c r="T242" s="4" t="str">
        <f>HYPERLINK("http://141.218.60.56/~jnz1568/getInfo.php?workbook=11_01.xlsx&amp;sheet=A0&amp;row=242&amp;col=20&amp;number=&amp;sourceID=12","")</f>
        <v/>
      </c>
      <c r="U242" s="4" t="str">
        <f>HYPERLINK("http://141.218.60.56/~jnz1568/getInfo.php?workbook=11_01.xlsx&amp;sheet=A0&amp;row=242&amp;col=21&amp;number=&amp;sourceID=30","")</f>
        <v/>
      </c>
      <c r="V242" s="4" t="str">
        <f>HYPERLINK("http://141.218.60.56/~jnz1568/getInfo.php?workbook=11_01.xlsx&amp;sheet=A0&amp;row=242&amp;col=22&amp;number=&amp;sourceID=30","")</f>
        <v/>
      </c>
      <c r="W242" s="4" t="str">
        <f>HYPERLINK("http://141.218.60.56/~jnz1568/getInfo.php?workbook=11_01.xlsx&amp;sheet=A0&amp;row=242&amp;col=23&amp;number=&amp;sourceID=30","")</f>
        <v/>
      </c>
      <c r="X242" s="4" t="str">
        <f>HYPERLINK("http://141.218.60.56/~jnz1568/getInfo.php?workbook=11_01.xlsx&amp;sheet=A0&amp;row=242&amp;col=24&amp;number=&amp;sourceID=30","")</f>
        <v/>
      </c>
      <c r="Y242" s="4" t="str">
        <f>HYPERLINK("http://141.218.60.56/~jnz1568/getInfo.php?workbook=11_01.xlsx&amp;sheet=A0&amp;row=242&amp;col=25&amp;number=&amp;sourceID=30","")</f>
        <v/>
      </c>
      <c r="Z242" s="4" t="str">
        <f>HYPERLINK("http://141.218.60.56/~jnz1568/getInfo.php?workbook=11_01.xlsx&amp;sheet=A0&amp;row=242&amp;col=26&amp;number=&amp;sourceID=13","")</f>
        <v/>
      </c>
      <c r="AA242" s="4" t="str">
        <f>HYPERLINK("http://141.218.60.56/~jnz1568/getInfo.php?workbook=11_01.xlsx&amp;sheet=A0&amp;row=242&amp;col=27&amp;number=&amp;sourceID=13","")</f>
        <v/>
      </c>
      <c r="AB242" s="4" t="str">
        <f>HYPERLINK("http://141.218.60.56/~jnz1568/getInfo.php?workbook=11_01.xlsx&amp;sheet=A0&amp;row=242&amp;col=28&amp;number=&amp;sourceID=13","")</f>
        <v/>
      </c>
      <c r="AC242" s="4" t="str">
        <f>HYPERLINK("http://141.218.60.56/~jnz1568/getInfo.php?workbook=11_01.xlsx&amp;sheet=A0&amp;row=242&amp;col=29&amp;number=&amp;sourceID=13","")</f>
        <v/>
      </c>
      <c r="AD242" s="4" t="str">
        <f>HYPERLINK("http://141.218.60.56/~jnz1568/getInfo.php?workbook=11_01.xlsx&amp;sheet=A0&amp;row=242&amp;col=30&amp;number=&amp;sourceID=13","")</f>
        <v/>
      </c>
      <c r="AE242" s="4" t="str">
        <f>HYPERLINK("http://141.218.60.56/~jnz1568/getInfo.php?workbook=11_01.xlsx&amp;sheet=A0&amp;row=242&amp;col=31&amp;number=&amp;sourceID=13","")</f>
        <v/>
      </c>
    </row>
    <row r="243" spans="1:31">
      <c r="A243" s="3">
        <v>11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HYPERLINK("http://141.218.60.56/~jnz1568/getInfo.php?workbook=11_01.xlsx&amp;sheet=A0&amp;row=243&amp;col=6&amp;number=&amp;sourceID=18","")</f>
        <v/>
      </c>
      <c r="G243" s="4" t="str">
        <f>HYPERLINK("http://141.218.60.56/~jnz1568/getInfo.php?workbook=11_01.xlsx&amp;sheet=A0&amp;row=243&amp;col=7&amp;number==&amp;sourceID=11","=")</f>
        <v>=</v>
      </c>
      <c r="H243" s="4" t="str">
        <f>HYPERLINK("http://141.218.60.56/~jnz1568/getInfo.php?workbook=11_01.xlsx&amp;sheet=A0&amp;row=243&amp;col=8&amp;number=&amp;sourceID=11","")</f>
        <v/>
      </c>
      <c r="I243" s="4" t="str">
        <f>HYPERLINK("http://141.218.60.56/~jnz1568/getInfo.php?workbook=11_01.xlsx&amp;sheet=A0&amp;row=243&amp;col=9&amp;number=&amp;sourceID=11","")</f>
        <v/>
      </c>
      <c r="J243" s="4" t="str">
        <f>HYPERLINK("http://141.218.60.56/~jnz1568/getInfo.php?workbook=11_01.xlsx&amp;sheet=A0&amp;row=243&amp;col=10&amp;number=&amp;sourceID=11","")</f>
        <v/>
      </c>
      <c r="K243" s="4" t="str">
        <f>HYPERLINK("http://141.218.60.56/~jnz1568/getInfo.php?workbook=11_01.xlsx&amp;sheet=A0&amp;row=243&amp;col=11&amp;number=&amp;sourceID=11","")</f>
        <v/>
      </c>
      <c r="L243" s="4" t="str">
        <f>HYPERLINK("http://141.218.60.56/~jnz1568/getInfo.php?workbook=11_01.xlsx&amp;sheet=A0&amp;row=243&amp;col=12&amp;number=&amp;sourceID=11","")</f>
        <v/>
      </c>
      <c r="M243" s="4" t="str">
        <f>HYPERLINK("http://141.218.60.56/~jnz1568/getInfo.php?workbook=11_01.xlsx&amp;sheet=A0&amp;row=243&amp;col=13&amp;number=0&amp;sourceID=11","0")</f>
        <v>0</v>
      </c>
      <c r="N243" s="4" t="str">
        <f>HYPERLINK("http://141.218.60.56/~jnz1568/getInfo.php?workbook=11_01.xlsx&amp;sheet=A0&amp;row=243&amp;col=14&amp;number=0&amp;sourceID=12","0")</f>
        <v>0</v>
      </c>
      <c r="O243" s="4" t="str">
        <f>HYPERLINK("http://141.218.60.56/~jnz1568/getInfo.php?workbook=11_01.xlsx&amp;sheet=A0&amp;row=243&amp;col=15&amp;number=&amp;sourceID=12","")</f>
        <v/>
      </c>
      <c r="P243" s="4" t="str">
        <f>HYPERLINK("http://141.218.60.56/~jnz1568/getInfo.php?workbook=11_01.xlsx&amp;sheet=A0&amp;row=243&amp;col=16&amp;number=&amp;sourceID=12","")</f>
        <v/>
      </c>
      <c r="Q243" s="4" t="str">
        <f>HYPERLINK("http://141.218.60.56/~jnz1568/getInfo.php?workbook=11_01.xlsx&amp;sheet=A0&amp;row=243&amp;col=17&amp;number=&amp;sourceID=12","")</f>
        <v/>
      </c>
      <c r="R243" s="4" t="str">
        <f>HYPERLINK("http://141.218.60.56/~jnz1568/getInfo.php?workbook=11_01.xlsx&amp;sheet=A0&amp;row=243&amp;col=18&amp;number=&amp;sourceID=12","")</f>
        <v/>
      </c>
      <c r="S243" s="4" t="str">
        <f>HYPERLINK("http://141.218.60.56/~jnz1568/getInfo.php?workbook=11_01.xlsx&amp;sheet=A0&amp;row=243&amp;col=19&amp;number=&amp;sourceID=12","")</f>
        <v/>
      </c>
      <c r="T243" s="4" t="str">
        <f>HYPERLINK("http://141.218.60.56/~jnz1568/getInfo.php?workbook=11_01.xlsx&amp;sheet=A0&amp;row=243&amp;col=20&amp;number=0&amp;sourceID=12","0")</f>
        <v>0</v>
      </c>
      <c r="U243" s="4" t="str">
        <f>HYPERLINK("http://141.218.60.56/~jnz1568/getInfo.php?workbook=11_01.xlsx&amp;sheet=A0&amp;row=243&amp;col=21&amp;number=&amp;sourceID=30","")</f>
        <v/>
      </c>
      <c r="V243" s="4" t="str">
        <f>HYPERLINK("http://141.218.60.56/~jnz1568/getInfo.php?workbook=11_01.xlsx&amp;sheet=A0&amp;row=243&amp;col=22&amp;number=&amp;sourceID=30","")</f>
        <v/>
      </c>
      <c r="W243" s="4" t="str">
        <f>HYPERLINK("http://141.218.60.56/~jnz1568/getInfo.php?workbook=11_01.xlsx&amp;sheet=A0&amp;row=243&amp;col=23&amp;number=&amp;sourceID=30","")</f>
        <v/>
      </c>
      <c r="X243" s="4" t="str">
        <f>HYPERLINK("http://141.218.60.56/~jnz1568/getInfo.php?workbook=11_01.xlsx&amp;sheet=A0&amp;row=243&amp;col=24&amp;number=&amp;sourceID=30","")</f>
        <v/>
      </c>
      <c r="Y243" s="4" t="str">
        <f>HYPERLINK("http://141.218.60.56/~jnz1568/getInfo.php?workbook=11_01.xlsx&amp;sheet=A0&amp;row=243&amp;col=25&amp;number=&amp;sourceID=30","")</f>
        <v/>
      </c>
      <c r="Z243" s="4" t="str">
        <f>HYPERLINK("http://141.218.60.56/~jnz1568/getInfo.php?workbook=11_01.xlsx&amp;sheet=A0&amp;row=243&amp;col=26&amp;number=&amp;sourceID=13","")</f>
        <v/>
      </c>
      <c r="AA243" s="4" t="str">
        <f>HYPERLINK("http://141.218.60.56/~jnz1568/getInfo.php?workbook=11_01.xlsx&amp;sheet=A0&amp;row=243&amp;col=27&amp;number=&amp;sourceID=13","")</f>
        <v/>
      </c>
      <c r="AB243" s="4" t="str">
        <f>HYPERLINK("http://141.218.60.56/~jnz1568/getInfo.php?workbook=11_01.xlsx&amp;sheet=A0&amp;row=243&amp;col=28&amp;number=&amp;sourceID=13","")</f>
        <v/>
      </c>
      <c r="AC243" s="4" t="str">
        <f>HYPERLINK("http://141.218.60.56/~jnz1568/getInfo.php?workbook=11_01.xlsx&amp;sheet=A0&amp;row=243&amp;col=29&amp;number=&amp;sourceID=13","")</f>
        <v/>
      </c>
      <c r="AD243" s="4" t="str">
        <f>HYPERLINK("http://141.218.60.56/~jnz1568/getInfo.php?workbook=11_01.xlsx&amp;sheet=A0&amp;row=243&amp;col=30&amp;number=&amp;sourceID=13","")</f>
        <v/>
      </c>
      <c r="AE243" s="4" t="str">
        <f>HYPERLINK("http://141.218.60.56/~jnz1568/getInfo.php?workbook=11_01.xlsx&amp;sheet=A0&amp;row=243&amp;col=31&amp;number=&amp;sourceID=13","")</f>
        <v/>
      </c>
    </row>
    <row r="244" spans="1:31">
      <c r="A244" s="3">
        <v>11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HYPERLINK("http://141.218.60.56/~jnz1568/getInfo.php?workbook=11_01.xlsx&amp;sheet=A0&amp;row=244&amp;col=6&amp;number=&amp;sourceID=18","")</f>
        <v/>
      </c>
      <c r="G244" s="4" t="str">
        <f>HYPERLINK("http://141.218.60.56/~jnz1568/getInfo.php?workbook=11_01.xlsx&amp;sheet=A0&amp;row=244&amp;col=7&amp;number==&amp;sourceID=11","=")</f>
        <v>=</v>
      </c>
      <c r="H244" s="4" t="str">
        <f>HYPERLINK("http://141.218.60.56/~jnz1568/getInfo.php?workbook=11_01.xlsx&amp;sheet=A0&amp;row=244&amp;col=8&amp;number=&amp;sourceID=11","")</f>
        <v/>
      </c>
      <c r="I244" s="4" t="str">
        <f>HYPERLINK("http://141.218.60.56/~jnz1568/getInfo.php?workbook=11_01.xlsx&amp;sheet=A0&amp;row=244&amp;col=9&amp;number=1.6314e-10&amp;sourceID=11","1.6314e-10")</f>
        <v>1.6314e-10</v>
      </c>
      <c r="J244" s="4" t="str">
        <f>HYPERLINK("http://141.218.60.56/~jnz1568/getInfo.php?workbook=11_01.xlsx&amp;sheet=A0&amp;row=244&amp;col=10&amp;number=&amp;sourceID=11","")</f>
        <v/>
      </c>
      <c r="K244" s="4" t="str">
        <f>HYPERLINK("http://141.218.60.56/~jnz1568/getInfo.php?workbook=11_01.xlsx&amp;sheet=A0&amp;row=244&amp;col=11&amp;number=&amp;sourceID=11","")</f>
        <v/>
      </c>
      <c r="L244" s="4" t="str">
        <f>HYPERLINK("http://141.218.60.56/~jnz1568/getInfo.php?workbook=11_01.xlsx&amp;sheet=A0&amp;row=244&amp;col=12&amp;number=&amp;sourceID=11","")</f>
        <v/>
      </c>
      <c r="M244" s="4" t="str">
        <f>HYPERLINK("http://141.218.60.56/~jnz1568/getInfo.php?workbook=11_01.xlsx&amp;sheet=A0&amp;row=244&amp;col=13&amp;number=0&amp;sourceID=11","0")</f>
        <v>0</v>
      </c>
      <c r="N244" s="4" t="str">
        <f>HYPERLINK("http://141.218.60.56/~jnz1568/getInfo.php?workbook=11_01.xlsx&amp;sheet=A0&amp;row=244&amp;col=14&amp;number=1.6317e-10&amp;sourceID=12","1.6317e-10")</f>
        <v>1.6317e-10</v>
      </c>
      <c r="O244" s="4" t="str">
        <f>HYPERLINK("http://141.218.60.56/~jnz1568/getInfo.php?workbook=11_01.xlsx&amp;sheet=A0&amp;row=244&amp;col=15&amp;number=&amp;sourceID=12","")</f>
        <v/>
      </c>
      <c r="P244" s="4" t="str">
        <f>HYPERLINK("http://141.218.60.56/~jnz1568/getInfo.php?workbook=11_01.xlsx&amp;sheet=A0&amp;row=244&amp;col=16&amp;number=1.6317e-10&amp;sourceID=12","1.6317e-10")</f>
        <v>1.6317e-10</v>
      </c>
      <c r="Q244" s="4" t="str">
        <f>HYPERLINK("http://141.218.60.56/~jnz1568/getInfo.php?workbook=11_01.xlsx&amp;sheet=A0&amp;row=244&amp;col=17&amp;number=&amp;sourceID=12","")</f>
        <v/>
      </c>
      <c r="R244" s="4" t="str">
        <f>HYPERLINK("http://141.218.60.56/~jnz1568/getInfo.php?workbook=11_01.xlsx&amp;sheet=A0&amp;row=244&amp;col=18&amp;number=&amp;sourceID=12","")</f>
        <v/>
      </c>
      <c r="S244" s="4" t="str">
        <f>HYPERLINK("http://141.218.60.56/~jnz1568/getInfo.php?workbook=11_01.xlsx&amp;sheet=A0&amp;row=244&amp;col=19&amp;number=&amp;sourceID=12","")</f>
        <v/>
      </c>
      <c r="T244" s="4" t="str">
        <f>HYPERLINK("http://141.218.60.56/~jnz1568/getInfo.php?workbook=11_01.xlsx&amp;sheet=A0&amp;row=244&amp;col=20&amp;number=0&amp;sourceID=12","0")</f>
        <v>0</v>
      </c>
      <c r="U244" s="4" t="str">
        <f>HYPERLINK("http://141.218.60.56/~jnz1568/getInfo.php?workbook=11_01.xlsx&amp;sheet=A0&amp;row=244&amp;col=21&amp;number=1.632e-10&amp;sourceID=30","1.632e-10")</f>
        <v>1.632e-10</v>
      </c>
      <c r="V244" s="4" t="str">
        <f>HYPERLINK("http://141.218.60.56/~jnz1568/getInfo.php?workbook=11_01.xlsx&amp;sheet=A0&amp;row=244&amp;col=22&amp;number=&amp;sourceID=30","")</f>
        <v/>
      </c>
      <c r="W244" s="4" t="str">
        <f>HYPERLINK("http://141.218.60.56/~jnz1568/getInfo.php?workbook=11_01.xlsx&amp;sheet=A0&amp;row=244&amp;col=23&amp;number=1.632e-10&amp;sourceID=30","1.632e-10")</f>
        <v>1.632e-10</v>
      </c>
      <c r="X244" s="4" t="str">
        <f>HYPERLINK("http://141.218.60.56/~jnz1568/getInfo.php?workbook=11_01.xlsx&amp;sheet=A0&amp;row=244&amp;col=24&amp;number=&amp;sourceID=30","")</f>
        <v/>
      </c>
      <c r="Y244" s="4" t="str">
        <f>HYPERLINK("http://141.218.60.56/~jnz1568/getInfo.php?workbook=11_01.xlsx&amp;sheet=A0&amp;row=244&amp;col=25&amp;number=&amp;sourceID=30","")</f>
        <v/>
      </c>
      <c r="Z244" s="4" t="str">
        <f>HYPERLINK("http://141.218.60.56/~jnz1568/getInfo.php?workbook=11_01.xlsx&amp;sheet=A0&amp;row=244&amp;col=26&amp;number=&amp;sourceID=13","")</f>
        <v/>
      </c>
      <c r="AA244" s="4" t="str">
        <f>HYPERLINK("http://141.218.60.56/~jnz1568/getInfo.php?workbook=11_01.xlsx&amp;sheet=A0&amp;row=244&amp;col=27&amp;number=&amp;sourceID=13","")</f>
        <v/>
      </c>
      <c r="AB244" s="4" t="str">
        <f>HYPERLINK("http://141.218.60.56/~jnz1568/getInfo.php?workbook=11_01.xlsx&amp;sheet=A0&amp;row=244&amp;col=28&amp;number=&amp;sourceID=13","")</f>
        <v/>
      </c>
      <c r="AC244" s="4" t="str">
        <f>HYPERLINK("http://141.218.60.56/~jnz1568/getInfo.php?workbook=11_01.xlsx&amp;sheet=A0&amp;row=244&amp;col=29&amp;number=&amp;sourceID=13","")</f>
        <v/>
      </c>
      <c r="AD244" s="4" t="str">
        <f>HYPERLINK("http://141.218.60.56/~jnz1568/getInfo.php?workbook=11_01.xlsx&amp;sheet=A0&amp;row=244&amp;col=30&amp;number=&amp;sourceID=13","")</f>
        <v/>
      </c>
      <c r="AE244" s="4" t="str">
        <f>HYPERLINK("http://141.218.60.56/~jnz1568/getInfo.php?workbook=11_01.xlsx&amp;sheet=A0&amp;row=244&amp;col=31&amp;number=&amp;sourceID=13","")</f>
        <v/>
      </c>
    </row>
    <row r="245" spans="1:31">
      <c r="A245" s="3">
        <v>11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HYPERLINK("http://141.218.60.56/~jnz1568/getInfo.php?workbook=11_01.xlsx&amp;sheet=A0&amp;row=245&amp;col=6&amp;number=&amp;sourceID=18","")</f>
        <v/>
      </c>
      <c r="G245" s="4" t="str">
        <f>HYPERLINK("http://141.218.60.56/~jnz1568/getInfo.php?workbook=11_01.xlsx&amp;sheet=A0&amp;row=245&amp;col=7&amp;number==&amp;sourceID=11","=")</f>
        <v>=</v>
      </c>
      <c r="H245" s="4" t="str">
        <f>HYPERLINK("http://141.218.60.56/~jnz1568/getInfo.php?workbook=11_01.xlsx&amp;sheet=A0&amp;row=245&amp;col=8&amp;number=&amp;sourceID=11","")</f>
        <v/>
      </c>
      <c r="I245" s="4" t="str">
        <f>HYPERLINK("http://141.218.60.56/~jnz1568/getInfo.php?workbook=11_01.xlsx&amp;sheet=A0&amp;row=245&amp;col=9&amp;number=&amp;sourceID=11","")</f>
        <v/>
      </c>
      <c r="J245" s="4" t="str">
        <f>HYPERLINK("http://141.218.60.56/~jnz1568/getInfo.php?workbook=11_01.xlsx&amp;sheet=A0&amp;row=245&amp;col=10&amp;number=0&amp;sourceID=11","0")</f>
        <v>0</v>
      </c>
      <c r="K245" s="4" t="str">
        <f>HYPERLINK("http://141.218.60.56/~jnz1568/getInfo.php?workbook=11_01.xlsx&amp;sheet=A0&amp;row=245&amp;col=11&amp;number=&amp;sourceID=11","")</f>
        <v/>
      </c>
      <c r="L245" s="4" t="str">
        <f>HYPERLINK("http://141.218.60.56/~jnz1568/getInfo.php?workbook=11_01.xlsx&amp;sheet=A0&amp;row=245&amp;col=12&amp;number=0&amp;sourceID=11","0")</f>
        <v>0</v>
      </c>
      <c r="M245" s="4" t="str">
        <f>HYPERLINK("http://141.218.60.56/~jnz1568/getInfo.php?workbook=11_01.xlsx&amp;sheet=A0&amp;row=245&amp;col=13&amp;number=&amp;sourceID=11","")</f>
        <v/>
      </c>
      <c r="N245" s="4" t="str">
        <f>HYPERLINK("http://141.218.60.56/~jnz1568/getInfo.php?workbook=11_01.xlsx&amp;sheet=A0&amp;row=245&amp;col=14&amp;number=0&amp;sourceID=12","0")</f>
        <v>0</v>
      </c>
      <c r="O245" s="4" t="str">
        <f>HYPERLINK("http://141.218.60.56/~jnz1568/getInfo.php?workbook=11_01.xlsx&amp;sheet=A0&amp;row=245&amp;col=15&amp;number=&amp;sourceID=12","")</f>
        <v/>
      </c>
      <c r="P245" s="4" t="str">
        <f>HYPERLINK("http://141.218.60.56/~jnz1568/getInfo.php?workbook=11_01.xlsx&amp;sheet=A0&amp;row=245&amp;col=16&amp;number=&amp;sourceID=12","")</f>
        <v/>
      </c>
      <c r="Q245" s="4" t="str">
        <f>HYPERLINK("http://141.218.60.56/~jnz1568/getInfo.php?workbook=11_01.xlsx&amp;sheet=A0&amp;row=245&amp;col=17&amp;number=0&amp;sourceID=12","0")</f>
        <v>0</v>
      </c>
      <c r="R245" s="4" t="str">
        <f>HYPERLINK("http://141.218.60.56/~jnz1568/getInfo.php?workbook=11_01.xlsx&amp;sheet=A0&amp;row=245&amp;col=18&amp;number=&amp;sourceID=12","")</f>
        <v/>
      </c>
      <c r="S245" s="4" t="str">
        <f>HYPERLINK("http://141.218.60.56/~jnz1568/getInfo.php?workbook=11_01.xlsx&amp;sheet=A0&amp;row=245&amp;col=19&amp;number=0&amp;sourceID=12","0")</f>
        <v>0</v>
      </c>
      <c r="T245" s="4" t="str">
        <f>HYPERLINK("http://141.218.60.56/~jnz1568/getInfo.php?workbook=11_01.xlsx&amp;sheet=A0&amp;row=245&amp;col=20&amp;number=&amp;sourceID=12","")</f>
        <v/>
      </c>
      <c r="U245" s="4" t="str">
        <f>HYPERLINK("http://141.218.60.56/~jnz1568/getInfo.php?workbook=11_01.xlsx&amp;sheet=A0&amp;row=245&amp;col=21&amp;number=0&amp;sourceID=30","0")</f>
        <v>0</v>
      </c>
      <c r="V245" s="4" t="str">
        <f>HYPERLINK("http://141.218.60.56/~jnz1568/getInfo.php?workbook=11_01.xlsx&amp;sheet=A0&amp;row=245&amp;col=22&amp;number=&amp;sourceID=30","")</f>
        <v/>
      </c>
      <c r="W245" s="4" t="str">
        <f>HYPERLINK("http://141.218.60.56/~jnz1568/getInfo.php?workbook=11_01.xlsx&amp;sheet=A0&amp;row=245&amp;col=23&amp;number=&amp;sourceID=30","")</f>
        <v/>
      </c>
      <c r="X245" s="4" t="str">
        <f>HYPERLINK("http://141.218.60.56/~jnz1568/getInfo.php?workbook=11_01.xlsx&amp;sheet=A0&amp;row=245&amp;col=24&amp;number=&amp;sourceID=30","")</f>
        <v/>
      </c>
      <c r="Y245" s="4" t="str">
        <f>HYPERLINK("http://141.218.60.56/~jnz1568/getInfo.php?workbook=11_01.xlsx&amp;sheet=A0&amp;row=245&amp;col=25&amp;number=0&amp;sourceID=30","0")</f>
        <v>0</v>
      </c>
      <c r="Z245" s="4" t="str">
        <f>HYPERLINK("http://141.218.60.56/~jnz1568/getInfo.php?workbook=11_01.xlsx&amp;sheet=A0&amp;row=245&amp;col=26&amp;number=&amp;sourceID=13","")</f>
        <v/>
      </c>
      <c r="AA245" s="4" t="str">
        <f>HYPERLINK("http://141.218.60.56/~jnz1568/getInfo.php?workbook=11_01.xlsx&amp;sheet=A0&amp;row=245&amp;col=27&amp;number=&amp;sourceID=13","")</f>
        <v/>
      </c>
      <c r="AB245" s="4" t="str">
        <f>HYPERLINK("http://141.218.60.56/~jnz1568/getInfo.php?workbook=11_01.xlsx&amp;sheet=A0&amp;row=245&amp;col=28&amp;number=&amp;sourceID=13","")</f>
        <v/>
      </c>
      <c r="AC245" s="4" t="str">
        <f>HYPERLINK("http://141.218.60.56/~jnz1568/getInfo.php?workbook=11_01.xlsx&amp;sheet=A0&amp;row=245&amp;col=29&amp;number=&amp;sourceID=13","")</f>
        <v/>
      </c>
      <c r="AD245" s="4" t="str">
        <f>HYPERLINK("http://141.218.60.56/~jnz1568/getInfo.php?workbook=11_01.xlsx&amp;sheet=A0&amp;row=245&amp;col=30&amp;number=&amp;sourceID=13","")</f>
        <v/>
      </c>
      <c r="AE245" s="4" t="str">
        <f>HYPERLINK("http://141.218.60.56/~jnz1568/getInfo.php?workbook=11_01.xlsx&amp;sheet=A0&amp;row=245&amp;col=31&amp;number=&amp;sourceID=13","")</f>
        <v/>
      </c>
    </row>
    <row r="246" spans="1:31">
      <c r="A246" s="3">
        <v>11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HYPERLINK("http://141.218.60.56/~jnz1568/getInfo.php?workbook=11_01.xlsx&amp;sheet=A0&amp;row=246&amp;col=6&amp;number=&amp;sourceID=18","")</f>
        <v/>
      </c>
      <c r="G246" s="4" t="str">
        <f>HYPERLINK("http://141.218.60.56/~jnz1568/getInfo.php?workbook=11_01.xlsx&amp;sheet=A0&amp;row=246&amp;col=7&amp;number==&amp;sourceID=11","=")</f>
        <v>=</v>
      </c>
      <c r="H246" s="4" t="str">
        <f>HYPERLINK("http://141.218.60.56/~jnz1568/getInfo.php?workbook=11_01.xlsx&amp;sheet=A0&amp;row=246&amp;col=8&amp;number=0.67519&amp;sourceID=11","0.67519")</f>
        <v>0.67519</v>
      </c>
      <c r="I246" s="4" t="str">
        <f>HYPERLINK("http://141.218.60.56/~jnz1568/getInfo.php?workbook=11_01.xlsx&amp;sheet=A0&amp;row=246&amp;col=9&amp;number=&amp;sourceID=11","")</f>
        <v/>
      </c>
      <c r="J246" s="4" t="str">
        <f>HYPERLINK("http://141.218.60.56/~jnz1568/getInfo.php?workbook=11_01.xlsx&amp;sheet=A0&amp;row=246&amp;col=10&amp;number=0&amp;sourceID=11","0")</f>
        <v>0</v>
      </c>
      <c r="K246" s="4" t="str">
        <f>HYPERLINK("http://141.218.60.56/~jnz1568/getInfo.php?workbook=11_01.xlsx&amp;sheet=A0&amp;row=246&amp;col=11&amp;number=&amp;sourceID=11","")</f>
        <v/>
      </c>
      <c r="L246" s="4" t="str">
        <f>HYPERLINK("http://141.218.60.56/~jnz1568/getInfo.php?workbook=11_01.xlsx&amp;sheet=A0&amp;row=246&amp;col=12&amp;number=0&amp;sourceID=11","0")</f>
        <v>0</v>
      </c>
      <c r="M246" s="4" t="str">
        <f>HYPERLINK("http://141.218.60.56/~jnz1568/getInfo.php?workbook=11_01.xlsx&amp;sheet=A0&amp;row=246&amp;col=13&amp;number=&amp;sourceID=11","")</f>
        <v/>
      </c>
      <c r="N246" s="4" t="str">
        <f>HYPERLINK("http://141.218.60.56/~jnz1568/getInfo.php?workbook=11_01.xlsx&amp;sheet=A0&amp;row=246&amp;col=14&amp;number=0.67528&amp;sourceID=12","0.67528")</f>
        <v>0.67528</v>
      </c>
      <c r="O246" s="4" t="str">
        <f>HYPERLINK("http://141.218.60.56/~jnz1568/getInfo.php?workbook=11_01.xlsx&amp;sheet=A0&amp;row=246&amp;col=15&amp;number=0.67528&amp;sourceID=12","0.67528")</f>
        <v>0.67528</v>
      </c>
      <c r="P246" s="4" t="str">
        <f>HYPERLINK("http://141.218.60.56/~jnz1568/getInfo.php?workbook=11_01.xlsx&amp;sheet=A0&amp;row=246&amp;col=16&amp;number=&amp;sourceID=12","")</f>
        <v/>
      </c>
      <c r="Q246" s="4" t="str">
        <f>HYPERLINK("http://141.218.60.56/~jnz1568/getInfo.php?workbook=11_01.xlsx&amp;sheet=A0&amp;row=246&amp;col=17&amp;number=0&amp;sourceID=12","0")</f>
        <v>0</v>
      </c>
      <c r="R246" s="4" t="str">
        <f>HYPERLINK("http://141.218.60.56/~jnz1568/getInfo.php?workbook=11_01.xlsx&amp;sheet=A0&amp;row=246&amp;col=18&amp;number=&amp;sourceID=12","")</f>
        <v/>
      </c>
      <c r="S246" s="4" t="str">
        <f>HYPERLINK("http://141.218.60.56/~jnz1568/getInfo.php?workbook=11_01.xlsx&amp;sheet=A0&amp;row=246&amp;col=19&amp;number=0&amp;sourceID=12","0")</f>
        <v>0</v>
      </c>
      <c r="T246" s="4" t="str">
        <f>HYPERLINK("http://141.218.60.56/~jnz1568/getInfo.php?workbook=11_01.xlsx&amp;sheet=A0&amp;row=246&amp;col=20&amp;number=&amp;sourceID=12","")</f>
        <v/>
      </c>
      <c r="U246" s="4" t="str">
        <f>HYPERLINK("http://141.218.60.56/~jnz1568/getInfo.php?workbook=11_01.xlsx&amp;sheet=A0&amp;row=246&amp;col=21&amp;number=0.6753&amp;sourceID=30","0.6753")</f>
        <v>0.6753</v>
      </c>
      <c r="V246" s="4" t="str">
        <f>HYPERLINK("http://141.218.60.56/~jnz1568/getInfo.php?workbook=11_01.xlsx&amp;sheet=A0&amp;row=246&amp;col=22&amp;number=0.6753&amp;sourceID=30","0.6753")</f>
        <v>0.6753</v>
      </c>
      <c r="W246" s="4" t="str">
        <f>HYPERLINK("http://141.218.60.56/~jnz1568/getInfo.php?workbook=11_01.xlsx&amp;sheet=A0&amp;row=246&amp;col=23&amp;number=&amp;sourceID=30","")</f>
        <v/>
      </c>
      <c r="X246" s="4" t="str">
        <f>HYPERLINK("http://141.218.60.56/~jnz1568/getInfo.php?workbook=11_01.xlsx&amp;sheet=A0&amp;row=246&amp;col=24&amp;number=&amp;sourceID=30","")</f>
        <v/>
      </c>
      <c r="Y246" s="4" t="str">
        <f>HYPERLINK("http://141.218.60.56/~jnz1568/getInfo.php?workbook=11_01.xlsx&amp;sheet=A0&amp;row=246&amp;col=25&amp;number=0&amp;sourceID=30","0")</f>
        <v>0</v>
      </c>
      <c r="Z246" s="4" t="str">
        <f>HYPERLINK("http://141.218.60.56/~jnz1568/getInfo.php?workbook=11_01.xlsx&amp;sheet=A0&amp;row=246&amp;col=26&amp;number=&amp;sourceID=13","")</f>
        <v/>
      </c>
      <c r="AA246" s="4" t="str">
        <f>HYPERLINK("http://141.218.60.56/~jnz1568/getInfo.php?workbook=11_01.xlsx&amp;sheet=A0&amp;row=246&amp;col=27&amp;number=&amp;sourceID=13","")</f>
        <v/>
      </c>
      <c r="AB246" s="4" t="str">
        <f>HYPERLINK("http://141.218.60.56/~jnz1568/getInfo.php?workbook=11_01.xlsx&amp;sheet=A0&amp;row=246&amp;col=28&amp;number=&amp;sourceID=13","")</f>
        <v/>
      </c>
      <c r="AC246" s="4" t="str">
        <f>HYPERLINK("http://141.218.60.56/~jnz1568/getInfo.php?workbook=11_01.xlsx&amp;sheet=A0&amp;row=246&amp;col=29&amp;number=&amp;sourceID=13","")</f>
        <v/>
      </c>
      <c r="AD246" s="4" t="str">
        <f>HYPERLINK("http://141.218.60.56/~jnz1568/getInfo.php?workbook=11_01.xlsx&amp;sheet=A0&amp;row=246&amp;col=30&amp;number=&amp;sourceID=13","")</f>
        <v/>
      </c>
      <c r="AE246" s="4" t="str">
        <f>HYPERLINK("http://141.218.60.56/~jnz1568/getInfo.php?workbook=11_01.xlsx&amp;sheet=A0&amp;row=246&amp;col=31&amp;number=&amp;sourceID=13","")</f>
        <v/>
      </c>
    </row>
    <row r="247" spans="1:31">
      <c r="A247" s="3">
        <v>11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HYPERLINK("http://141.218.60.56/~jnz1568/getInfo.php?workbook=11_01.xlsx&amp;sheet=A0&amp;row=247&amp;col=6&amp;number=&amp;sourceID=18","")</f>
        <v/>
      </c>
      <c r="G247" s="4" t="str">
        <f>HYPERLINK("http://141.218.60.56/~jnz1568/getInfo.php?workbook=11_01.xlsx&amp;sheet=A0&amp;row=247&amp;col=7&amp;number==&amp;sourceID=11","=")</f>
        <v>=</v>
      </c>
      <c r="H247" s="4" t="str">
        <f>HYPERLINK("http://141.218.60.56/~jnz1568/getInfo.php?workbook=11_01.xlsx&amp;sheet=A0&amp;row=247&amp;col=8&amp;number=&amp;sourceID=11","")</f>
        <v/>
      </c>
      <c r="I247" s="4" t="str">
        <f>HYPERLINK("http://141.218.60.56/~jnz1568/getInfo.php?workbook=11_01.xlsx&amp;sheet=A0&amp;row=247&amp;col=9&amp;number=7.4e-14&amp;sourceID=11","7.4e-14")</f>
        <v>7.4e-14</v>
      </c>
      <c r="J247" s="4" t="str">
        <f>HYPERLINK("http://141.218.60.56/~jnz1568/getInfo.php?workbook=11_01.xlsx&amp;sheet=A0&amp;row=247&amp;col=10&amp;number=&amp;sourceID=11","")</f>
        <v/>
      </c>
      <c r="K247" s="4" t="str">
        <f>HYPERLINK("http://141.218.60.56/~jnz1568/getInfo.php?workbook=11_01.xlsx&amp;sheet=A0&amp;row=247&amp;col=11&amp;number=0&amp;sourceID=11","0")</f>
        <v>0</v>
      </c>
      <c r="L247" s="4" t="str">
        <f>HYPERLINK("http://141.218.60.56/~jnz1568/getInfo.php?workbook=11_01.xlsx&amp;sheet=A0&amp;row=247&amp;col=12&amp;number=&amp;sourceID=11","")</f>
        <v/>
      </c>
      <c r="M247" s="4" t="str">
        <f>HYPERLINK("http://141.218.60.56/~jnz1568/getInfo.php?workbook=11_01.xlsx&amp;sheet=A0&amp;row=247&amp;col=13&amp;number=0&amp;sourceID=11","0")</f>
        <v>0</v>
      </c>
      <c r="N247" s="4" t="str">
        <f>HYPERLINK("http://141.218.60.56/~jnz1568/getInfo.php?workbook=11_01.xlsx&amp;sheet=A0&amp;row=247&amp;col=14&amp;number=7.5e-14&amp;sourceID=12","7.5e-14")</f>
        <v>7.5e-14</v>
      </c>
      <c r="O247" s="4" t="str">
        <f>HYPERLINK("http://141.218.60.56/~jnz1568/getInfo.php?workbook=11_01.xlsx&amp;sheet=A0&amp;row=247&amp;col=15&amp;number=&amp;sourceID=12","")</f>
        <v/>
      </c>
      <c r="P247" s="4" t="str">
        <f>HYPERLINK("http://141.218.60.56/~jnz1568/getInfo.php?workbook=11_01.xlsx&amp;sheet=A0&amp;row=247&amp;col=16&amp;number=7.4e-14&amp;sourceID=12","7.4e-14")</f>
        <v>7.4e-14</v>
      </c>
      <c r="Q247" s="4" t="str">
        <f>HYPERLINK("http://141.218.60.56/~jnz1568/getInfo.php?workbook=11_01.xlsx&amp;sheet=A0&amp;row=247&amp;col=17&amp;number=&amp;sourceID=12","")</f>
        <v/>
      </c>
      <c r="R247" s="4" t="str">
        <f>HYPERLINK("http://141.218.60.56/~jnz1568/getInfo.php?workbook=11_01.xlsx&amp;sheet=A0&amp;row=247&amp;col=18&amp;number=0&amp;sourceID=12","0")</f>
        <v>0</v>
      </c>
      <c r="S247" s="4" t="str">
        <f>HYPERLINK("http://141.218.60.56/~jnz1568/getInfo.php?workbook=11_01.xlsx&amp;sheet=A0&amp;row=247&amp;col=19&amp;number=&amp;sourceID=12","")</f>
        <v/>
      </c>
      <c r="T247" s="4" t="str">
        <f>HYPERLINK("http://141.218.60.56/~jnz1568/getInfo.php?workbook=11_01.xlsx&amp;sheet=A0&amp;row=247&amp;col=20&amp;number=0&amp;sourceID=12","0")</f>
        <v>0</v>
      </c>
      <c r="U247" s="4" t="str">
        <f>HYPERLINK("http://141.218.60.56/~jnz1568/getInfo.php?workbook=11_01.xlsx&amp;sheet=A0&amp;row=247&amp;col=21&amp;number=7.5e-14&amp;sourceID=30","7.5e-14")</f>
        <v>7.5e-14</v>
      </c>
      <c r="V247" s="4" t="str">
        <f>HYPERLINK("http://141.218.60.56/~jnz1568/getInfo.php?workbook=11_01.xlsx&amp;sheet=A0&amp;row=247&amp;col=22&amp;number=&amp;sourceID=30","")</f>
        <v/>
      </c>
      <c r="W247" s="4" t="str">
        <f>HYPERLINK("http://141.218.60.56/~jnz1568/getInfo.php?workbook=11_01.xlsx&amp;sheet=A0&amp;row=247&amp;col=23&amp;number=7.4e-14&amp;sourceID=30","7.4e-14")</f>
        <v>7.4e-14</v>
      </c>
      <c r="X247" s="4" t="str">
        <f>HYPERLINK("http://141.218.60.56/~jnz1568/getInfo.php?workbook=11_01.xlsx&amp;sheet=A0&amp;row=247&amp;col=24&amp;number=0&amp;sourceID=30","0")</f>
        <v>0</v>
      </c>
      <c r="Y247" s="4" t="str">
        <f>HYPERLINK("http://141.218.60.56/~jnz1568/getInfo.php?workbook=11_01.xlsx&amp;sheet=A0&amp;row=247&amp;col=25&amp;number=&amp;sourceID=30","")</f>
        <v/>
      </c>
      <c r="Z247" s="4" t="str">
        <f>HYPERLINK("http://141.218.60.56/~jnz1568/getInfo.php?workbook=11_01.xlsx&amp;sheet=A0&amp;row=247&amp;col=26&amp;number=&amp;sourceID=13","")</f>
        <v/>
      </c>
      <c r="AA247" s="4" t="str">
        <f>HYPERLINK("http://141.218.60.56/~jnz1568/getInfo.php?workbook=11_01.xlsx&amp;sheet=A0&amp;row=247&amp;col=27&amp;number=&amp;sourceID=13","")</f>
        <v/>
      </c>
      <c r="AB247" s="4" t="str">
        <f>HYPERLINK("http://141.218.60.56/~jnz1568/getInfo.php?workbook=11_01.xlsx&amp;sheet=A0&amp;row=247&amp;col=28&amp;number=&amp;sourceID=13","")</f>
        <v/>
      </c>
      <c r="AC247" s="4" t="str">
        <f>HYPERLINK("http://141.218.60.56/~jnz1568/getInfo.php?workbook=11_01.xlsx&amp;sheet=A0&amp;row=247&amp;col=29&amp;number=&amp;sourceID=13","")</f>
        <v/>
      </c>
      <c r="AD247" s="4" t="str">
        <f>HYPERLINK("http://141.218.60.56/~jnz1568/getInfo.php?workbook=11_01.xlsx&amp;sheet=A0&amp;row=247&amp;col=30&amp;number=&amp;sourceID=13","")</f>
        <v/>
      </c>
      <c r="AE247" s="4" t="str">
        <f>HYPERLINK("http://141.218.60.56/~jnz1568/getInfo.php?workbook=11_01.xlsx&amp;sheet=A0&amp;row=247&amp;col=31&amp;number=&amp;sourceID=13","")</f>
        <v/>
      </c>
    </row>
    <row r="248" spans="1:31">
      <c r="A248" s="3">
        <v>11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HYPERLINK("http://141.218.60.56/~jnz1568/getInfo.php?workbook=11_01.xlsx&amp;sheet=A0&amp;row=248&amp;col=6&amp;number=&amp;sourceID=18","")</f>
        <v/>
      </c>
      <c r="G248" s="4" t="str">
        <f>HYPERLINK("http://141.218.60.56/~jnz1568/getInfo.php?workbook=11_01.xlsx&amp;sheet=A0&amp;row=248&amp;col=7&amp;number==&amp;sourceID=11","=")</f>
        <v>=</v>
      </c>
      <c r="H248" s="4" t="str">
        <f>HYPERLINK("http://141.218.60.56/~jnz1568/getInfo.php?workbook=11_01.xlsx&amp;sheet=A0&amp;row=248&amp;col=8&amp;number=&amp;sourceID=11","")</f>
        <v/>
      </c>
      <c r="I248" s="4" t="str">
        <f>HYPERLINK("http://141.218.60.56/~jnz1568/getInfo.php?workbook=11_01.xlsx&amp;sheet=A0&amp;row=248&amp;col=9&amp;number=&amp;sourceID=11","")</f>
        <v/>
      </c>
      <c r="J248" s="4" t="str">
        <f>HYPERLINK("http://141.218.60.56/~jnz1568/getInfo.php?workbook=11_01.xlsx&amp;sheet=A0&amp;row=248&amp;col=10&amp;number=54628&amp;sourceID=11","54628")</f>
        <v>54628</v>
      </c>
      <c r="K248" s="4" t="str">
        <f>HYPERLINK("http://141.218.60.56/~jnz1568/getInfo.php?workbook=11_01.xlsx&amp;sheet=A0&amp;row=248&amp;col=11&amp;number=&amp;sourceID=11","")</f>
        <v/>
      </c>
      <c r="L248" s="4" t="str">
        <f>HYPERLINK("http://141.218.60.56/~jnz1568/getInfo.php?workbook=11_01.xlsx&amp;sheet=A0&amp;row=248&amp;col=12&amp;number=&amp;sourceID=11","")</f>
        <v/>
      </c>
      <c r="M248" s="4" t="str">
        <f>HYPERLINK("http://141.218.60.56/~jnz1568/getInfo.php?workbook=11_01.xlsx&amp;sheet=A0&amp;row=248&amp;col=13&amp;number=&amp;sourceID=11","")</f>
        <v/>
      </c>
      <c r="N248" s="4" t="str">
        <f>HYPERLINK("http://141.218.60.56/~jnz1568/getInfo.php?workbook=11_01.xlsx&amp;sheet=A0&amp;row=248&amp;col=14&amp;number=54630&amp;sourceID=12","54630")</f>
        <v>54630</v>
      </c>
      <c r="O248" s="4" t="str">
        <f>HYPERLINK("http://141.218.60.56/~jnz1568/getInfo.php?workbook=11_01.xlsx&amp;sheet=A0&amp;row=248&amp;col=15&amp;number=&amp;sourceID=12","")</f>
        <v/>
      </c>
      <c r="P248" s="4" t="str">
        <f>HYPERLINK("http://141.218.60.56/~jnz1568/getInfo.php?workbook=11_01.xlsx&amp;sheet=A0&amp;row=248&amp;col=16&amp;number=&amp;sourceID=12","")</f>
        <v/>
      </c>
      <c r="Q248" s="4" t="str">
        <f>HYPERLINK("http://141.218.60.56/~jnz1568/getInfo.php?workbook=11_01.xlsx&amp;sheet=A0&amp;row=248&amp;col=17&amp;number=54630&amp;sourceID=12","54630")</f>
        <v>54630</v>
      </c>
      <c r="R248" s="4" t="str">
        <f>HYPERLINK("http://141.218.60.56/~jnz1568/getInfo.php?workbook=11_01.xlsx&amp;sheet=A0&amp;row=248&amp;col=18&amp;number=&amp;sourceID=12","")</f>
        <v/>
      </c>
      <c r="S248" s="4" t="str">
        <f>HYPERLINK("http://141.218.60.56/~jnz1568/getInfo.php?workbook=11_01.xlsx&amp;sheet=A0&amp;row=248&amp;col=19&amp;number=&amp;sourceID=12","")</f>
        <v/>
      </c>
      <c r="T248" s="4" t="str">
        <f>HYPERLINK("http://141.218.60.56/~jnz1568/getInfo.php?workbook=11_01.xlsx&amp;sheet=A0&amp;row=248&amp;col=20&amp;number=&amp;sourceID=12","")</f>
        <v/>
      </c>
      <c r="U248" s="4" t="str">
        <f>HYPERLINK("http://141.218.60.56/~jnz1568/getInfo.php?workbook=11_01.xlsx&amp;sheet=A0&amp;row=248&amp;col=21&amp;number=&amp;sourceID=30","")</f>
        <v/>
      </c>
      <c r="V248" s="4" t="str">
        <f>HYPERLINK("http://141.218.60.56/~jnz1568/getInfo.php?workbook=11_01.xlsx&amp;sheet=A0&amp;row=248&amp;col=22&amp;number=&amp;sourceID=30","")</f>
        <v/>
      </c>
      <c r="W248" s="4" t="str">
        <f>HYPERLINK("http://141.218.60.56/~jnz1568/getInfo.php?workbook=11_01.xlsx&amp;sheet=A0&amp;row=248&amp;col=23&amp;number=&amp;sourceID=30","")</f>
        <v/>
      </c>
      <c r="X248" s="4" t="str">
        <f>HYPERLINK("http://141.218.60.56/~jnz1568/getInfo.php?workbook=11_01.xlsx&amp;sheet=A0&amp;row=248&amp;col=24&amp;number=&amp;sourceID=30","")</f>
        <v/>
      </c>
      <c r="Y248" s="4" t="str">
        <f>HYPERLINK("http://141.218.60.56/~jnz1568/getInfo.php?workbook=11_01.xlsx&amp;sheet=A0&amp;row=248&amp;col=25&amp;number=&amp;sourceID=30","")</f>
        <v/>
      </c>
      <c r="Z248" s="4" t="str">
        <f>HYPERLINK("http://141.218.60.56/~jnz1568/getInfo.php?workbook=11_01.xlsx&amp;sheet=A0&amp;row=248&amp;col=26&amp;number=&amp;sourceID=13","")</f>
        <v/>
      </c>
      <c r="AA248" s="4" t="str">
        <f>HYPERLINK("http://141.218.60.56/~jnz1568/getInfo.php?workbook=11_01.xlsx&amp;sheet=A0&amp;row=248&amp;col=27&amp;number=&amp;sourceID=13","")</f>
        <v/>
      </c>
      <c r="AB248" s="4" t="str">
        <f>HYPERLINK("http://141.218.60.56/~jnz1568/getInfo.php?workbook=11_01.xlsx&amp;sheet=A0&amp;row=248&amp;col=28&amp;number=&amp;sourceID=13","")</f>
        <v/>
      </c>
      <c r="AC248" s="4" t="str">
        <f>HYPERLINK("http://141.218.60.56/~jnz1568/getInfo.php?workbook=11_01.xlsx&amp;sheet=A0&amp;row=248&amp;col=29&amp;number=&amp;sourceID=13","")</f>
        <v/>
      </c>
      <c r="AD248" s="4" t="str">
        <f>HYPERLINK("http://141.218.60.56/~jnz1568/getInfo.php?workbook=11_01.xlsx&amp;sheet=A0&amp;row=248&amp;col=30&amp;number=&amp;sourceID=13","")</f>
        <v/>
      </c>
      <c r="AE248" s="4" t="str">
        <f>HYPERLINK("http://141.218.60.56/~jnz1568/getInfo.php?workbook=11_01.xlsx&amp;sheet=A0&amp;row=248&amp;col=31&amp;number=&amp;sourceID=13","")</f>
        <v/>
      </c>
    </row>
    <row r="249" spans="1:31">
      <c r="A249" s="3">
        <v>11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HYPERLINK("http://141.218.60.56/~jnz1568/getInfo.php?workbook=11_01.xlsx&amp;sheet=A0&amp;row=249&amp;col=6&amp;number=&amp;sourceID=18","")</f>
        <v/>
      </c>
      <c r="G249" s="4" t="str">
        <f>HYPERLINK("http://141.218.60.56/~jnz1568/getInfo.php?workbook=11_01.xlsx&amp;sheet=A0&amp;row=249&amp;col=7&amp;number==&amp;sourceID=11","=")</f>
        <v>=</v>
      </c>
      <c r="H249" s="4" t="str">
        <f>HYPERLINK("http://141.218.60.56/~jnz1568/getInfo.php?workbook=11_01.xlsx&amp;sheet=A0&amp;row=249&amp;col=8&amp;number=&amp;sourceID=11","")</f>
        <v/>
      </c>
      <c r="I249" s="4" t="str">
        <f>HYPERLINK("http://141.218.60.56/~jnz1568/getInfo.php?workbook=11_01.xlsx&amp;sheet=A0&amp;row=249&amp;col=9&amp;number=&amp;sourceID=11","")</f>
        <v/>
      </c>
      <c r="J249" s="4" t="str">
        <f>HYPERLINK("http://141.218.60.56/~jnz1568/getInfo.php?workbook=11_01.xlsx&amp;sheet=A0&amp;row=249&amp;col=10&amp;number=&amp;sourceID=11","")</f>
        <v/>
      </c>
      <c r="K249" s="4" t="str">
        <f>HYPERLINK("http://141.218.60.56/~jnz1568/getInfo.php?workbook=11_01.xlsx&amp;sheet=A0&amp;row=249&amp;col=11&amp;number=&amp;sourceID=11","")</f>
        <v/>
      </c>
      <c r="L249" s="4" t="str">
        <f>HYPERLINK("http://141.218.60.56/~jnz1568/getInfo.php?workbook=11_01.xlsx&amp;sheet=A0&amp;row=249&amp;col=12&amp;number=&amp;sourceID=11","")</f>
        <v/>
      </c>
      <c r="M249" s="4" t="str">
        <f>HYPERLINK("http://141.218.60.56/~jnz1568/getInfo.php?workbook=11_01.xlsx&amp;sheet=A0&amp;row=249&amp;col=13&amp;number=2.4042&amp;sourceID=11","2.4042")</f>
        <v>2.4042</v>
      </c>
      <c r="N249" s="4" t="str">
        <f>HYPERLINK("http://141.218.60.56/~jnz1568/getInfo.php?workbook=11_01.xlsx&amp;sheet=A0&amp;row=249&amp;col=14&amp;number=2.4042&amp;sourceID=12","2.4042")</f>
        <v>2.4042</v>
      </c>
      <c r="O249" s="4" t="str">
        <f>HYPERLINK("http://141.218.60.56/~jnz1568/getInfo.php?workbook=11_01.xlsx&amp;sheet=A0&amp;row=249&amp;col=15&amp;number=&amp;sourceID=12","")</f>
        <v/>
      </c>
      <c r="P249" s="4" t="str">
        <f>HYPERLINK("http://141.218.60.56/~jnz1568/getInfo.php?workbook=11_01.xlsx&amp;sheet=A0&amp;row=249&amp;col=16&amp;number=&amp;sourceID=12","")</f>
        <v/>
      </c>
      <c r="Q249" s="4" t="str">
        <f>HYPERLINK("http://141.218.60.56/~jnz1568/getInfo.php?workbook=11_01.xlsx&amp;sheet=A0&amp;row=249&amp;col=17&amp;number=&amp;sourceID=12","")</f>
        <v/>
      </c>
      <c r="R249" s="4" t="str">
        <f>HYPERLINK("http://141.218.60.56/~jnz1568/getInfo.php?workbook=11_01.xlsx&amp;sheet=A0&amp;row=249&amp;col=18&amp;number=&amp;sourceID=12","")</f>
        <v/>
      </c>
      <c r="S249" s="4" t="str">
        <f>HYPERLINK("http://141.218.60.56/~jnz1568/getInfo.php?workbook=11_01.xlsx&amp;sheet=A0&amp;row=249&amp;col=19&amp;number=&amp;sourceID=12","")</f>
        <v/>
      </c>
      <c r="T249" s="4" t="str">
        <f>HYPERLINK("http://141.218.60.56/~jnz1568/getInfo.php?workbook=11_01.xlsx&amp;sheet=A0&amp;row=249&amp;col=20&amp;number=2.4042&amp;sourceID=12","2.4042")</f>
        <v>2.4042</v>
      </c>
      <c r="U249" s="4" t="str">
        <f>HYPERLINK("http://141.218.60.56/~jnz1568/getInfo.php?workbook=11_01.xlsx&amp;sheet=A0&amp;row=249&amp;col=21&amp;number=&amp;sourceID=30","")</f>
        <v/>
      </c>
      <c r="V249" s="4" t="str">
        <f>HYPERLINK("http://141.218.60.56/~jnz1568/getInfo.php?workbook=11_01.xlsx&amp;sheet=A0&amp;row=249&amp;col=22&amp;number=&amp;sourceID=30","")</f>
        <v/>
      </c>
      <c r="W249" s="4" t="str">
        <f>HYPERLINK("http://141.218.60.56/~jnz1568/getInfo.php?workbook=11_01.xlsx&amp;sheet=A0&amp;row=249&amp;col=23&amp;number=&amp;sourceID=30","")</f>
        <v/>
      </c>
      <c r="X249" s="4" t="str">
        <f>HYPERLINK("http://141.218.60.56/~jnz1568/getInfo.php?workbook=11_01.xlsx&amp;sheet=A0&amp;row=249&amp;col=24&amp;number=&amp;sourceID=30","")</f>
        <v/>
      </c>
      <c r="Y249" s="4" t="str">
        <f>HYPERLINK("http://141.218.60.56/~jnz1568/getInfo.php?workbook=11_01.xlsx&amp;sheet=A0&amp;row=249&amp;col=25&amp;number=&amp;sourceID=30","")</f>
        <v/>
      </c>
      <c r="Z249" s="4" t="str">
        <f>HYPERLINK("http://141.218.60.56/~jnz1568/getInfo.php?workbook=11_01.xlsx&amp;sheet=A0&amp;row=249&amp;col=26&amp;number=&amp;sourceID=13","")</f>
        <v/>
      </c>
      <c r="AA249" s="4" t="str">
        <f>HYPERLINK("http://141.218.60.56/~jnz1568/getInfo.php?workbook=11_01.xlsx&amp;sheet=A0&amp;row=249&amp;col=27&amp;number=&amp;sourceID=13","")</f>
        <v/>
      </c>
      <c r="AB249" s="4" t="str">
        <f>HYPERLINK("http://141.218.60.56/~jnz1568/getInfo.php?workbook=11_01.xlsx&amp;sheet=A0&amp;row=249&amp;col=28&amp;number=&amp;sourceID=13","")</f>
        <v/>
      </c>
      <c r="AC249" s="4" t="str">
        <f>HYPERLINK("http://141.218.60.56/~jnz1568/getInfo.php?workbook=11_01.xlsx&amp;sheet=A0&amp;row=249&amp;col=29&amp;number=&amp;sourceID=13","")</f>
        <v/>
      </c>
      <c r="AD249" s="4" t="str">
        <f>HYPERLINK("http://141.218.60.56/~jnz1568/getInfo.php?workbook=11_01.xlsx&amp;sheet=A0&amp;row=249&amp;col=30&amp;number=&amp;sourceID=13","")</f>
        <v/>
      </c>
      <c r="AE249" s="4" t="str">
        <f>HYPERLINK("http://141.218.60.56/~jnz1568/getInfo.php?workbook=11_01.xlsx&amp;sheet=A0&amp;row=249&amp;col=31&amp;number=&amp;sourceID=13","")</f>
        <v/>
      </c>
    </row>
    <row r="250" spans="1:31">
      <c r="A250" s="3">
        <v>11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HYPERLINK("http://141.218.60.56/~jnz1568/getInfo.php?workbook=11_01.xlsx&amp;sheet=A0&amp;row=250&amp;col=6&amp;number=&amp;sourceID=18","")</f>
        <v/>
      </c>
      <c r="G250" s="4" t="str">
        <f>HYPERLINK("http://141.218.60.56/~jnz1568/getInfo.php?workbook=11_01.xlsx&amp;sheet=A0&amp;row=250&amp;col=7&amp;number==&amp;sourceID=11","=")</f>
        <v>=</v>
      </c>
      <c r="H250" s="4" t="str">
        <f>HYPERLINK("http://141.218.60.56/~jnz1568/getInfo.php?workbook=11_01.xlsx&amp;sheet=A0&amp;row=250&amp;col=8&amp;number=&amp;sourceID=11","")</f>
        <v/>
      </c>
      <c r="I250" s="4" t="str">
        <f>HYPERLINK("http://141.218.60.56/~jnz1568/getInfo.php?workbook=11_01.xlsx&amp;sheet=A0&amp;row=250&amp;col=9&amp;number=&amp;sourceID=11","")</f>
        <v/>
      </c>
      <c r="J250" s="4" t="str">
        <f>HYPERLINK("http://141.218.60.56/~jnz1568/getInfo.php?workbook=11_01.xlsx&amp;sheet=A0&amp;row=250&amp;col=10&amp;number=15189&amp;sourceID=11","15189")</f>
        <v>15189</v>
      </c>
      <c r="K250" s="4" t="str">
        <f>HYPERLINK("http://141.218.60.56/~jnz1568/getInfo.php?workbook=11_01.xlsx&amp;sheet=A0&amp;row=250&amp;col=11&amp;number=&amp;sourceID=11","")</f>
        <v/>
      </c>
      <c r="L250" s="4" t="str">
        <f>HYPERLINK("http://141.218.60.56/~jnz1568/getInfo.php?workbook=11_01.xlsx&amp;sheet=A0&amp;row=250&amp;col=12&amp;number=&amp;sourceID=11","")</f>
        <v/>
      </c>
      <c r="M250" s="4" t="str">
        <f>HYPERLINK("http://141.218.60.56/~jnz1568/getInfo.php?workbook=11_01.xlsx&amp;sheet=A0&amp;row=250&amp;col=13&amp;number=&amp;sourceID=11","")</f>
        <v/>
      </c>
      <c r="N250" s="4" t="str">
        <f>HYPERLINK("http://141.218.60.56/~jnz1568/getInfo.php?workbook=11_01.xlsx&amp;sheet=A0&amp;row=250&amp;col=14&amp;number=15189&amp;sourceID=12","15189")</f>
        <v>15189</v>
      </c>
      <c r="O250" s="4" t="str">
        <f>HYPERLINK("http://141.218.60.56/~jnz1568/getInfo.php?workbook=11_01.xlsx&amp;sheet=A0&amp;row=250&amp;col=15&amp;number=&amp;sourceID=12","")</f>
        <v/>
      </c>
      <c r="P250" s="4" t="str">
        <f>HYPERLINK("http://141.218.60.56/~jnz1568/getInfo.php?workbook=11_01.xlsx&amp;sheet=A0&amp;row=250&amp;col=16&amp;number=&amp;sourceID=12","")</f>
        <v/>
      </c>
      <c r="Q250" s="4" t="str">
        <f>HYPERLINK("http://141.218.60.56/~jnz1568/getInfo.php?workbook=11_01.xlsx&amp;sheet=A0&amp;row=250&amp;col=17&amp;number=15189&amp;sourceID=12","15189")</f>
        <v>15189</v>
      </c>
      <c r="R250" s="4" t="str">
        <f>HYPERLINK("http://141.218.60.56/~jnz1568/getInfo.php?workbook=11_01.xlsx&amp;sheet=A0&amp;row=250&amp;col=18&amp;number=&amp;sourceID=12","")</f>
        <v/>
      </c>
      <c r="S250" s="4" t="str">
        <f>HYPERLINK("http://141.218.60.56/~jnz1568/getInfo.php?workbook=11_01.xlsx&amp;sheet=A0&amp;row=250&amp;col=19&amp;number=&amp;sourceID=12","")</f>
        <v/>
      </c>
      <c r="T250" s="4" t="str">
        <f>HYPERLINK("http://141.218.60.56/~jnz1568/getInfo.php?workbook=11_01.xlsx&amp;sheet=A0&amp;row=250&amp;col=20&amp;number=&amp;sourceID=12","")</f>
        <v/>
      </c>
      <c r="U250" s="4" t="str">
        <f>HYPERLINK("http://141.218.60.56/~jnz1568/getInfo.php?workbook=11_01.xlsx&amp;sheet=A0&amp;row=250&amp;col=21&amp;number=&amp;sourceID=30","")</f>
        <v/>
      </c>
      <c r="V250" s="4" t="str">
        <f>HYPERLINK("http://141.218.60.56/~jnz1568/getInfo.php?workbook=11_01.xlsx&amp;sheet=A0&amp;row=250&amp;col=22&amp;number=&amp;sourceID=30","")</f>
        <v/>
      </c>
      <c r="W250" s="4" t="str">
        <f>HYPERLINK("http://141.218.60.56/~jnz1568/getInfo.php?workbook=11_01.xlsx&amp;sheet=A0&amp;row=250&amp;col=23&amp;number=&amp;sourceID=30","")</f>
        <v/>
      </c>
      <c r="X250" s="4" t="str">
        <f>HYPERLINK("http://141.218.60.56/~jnz1568/getInfo.php?workbook=11_01.xlsx&amp;sheet=A0&amp;row=250&amp;col=24&amp;number=&amp;sourceID=30","")</f>
        <v/>
      </c>
      <c r="Y250" s="4" t="str">
        <f>HYPERLINK("http://141.218.60.56/~jnz1568/getInfo.php?workbook=11_01.xlsx&amp;sheet=A0&amp;row=250&amp;col=25&amp;number=&amp;sourceID=30","")</f>
        <v/>
      </c>
      <c r="Z250" s="4" t="str">
        <f>HYPERLINK("http://141.218.60.56/~jnz1568/getInfo.php?workbook=11_01.xlsx&amp;sheet=A0&amp;row=250&amp;col=26&amp;number=&amp;sourceID=13","")</f>
        <v/>
      </c>
      <c r="AA250" s="4" t="str">
        <f>HYPERLINK("http://141.218.60.56/~jnz1568/getInfo.php?workbook=11_01.xlsx&amp;sheet=A0&amp;row=250&amp;col=27&amp;number=&amp;sourceID=13","")</f>
        <v/>
      </c>
      <c r="AB250" s="4" t="str">
        <f>HYPERLINK("http://141.218.60.56/~jnz1568/getInfo.php?workbook=11_01.xlsx&amp;sheet=A0&amp;row=250&amp;col=28&amp;number=&amp;sourceID=13","")</f>
        <v/>
      </c>
      <c r="AC250" s="4" t="str">
        <f>HYPERLINK("http://141.218.60.56/~jnz1568/getInfo.php?workbook=11_01.xlsx&amp;sheet=A0&amp;row=250&amp;col=29&amp;number=&amp;sourceID=13","")</f>
        <v/>
      </c>
      <c r="AD250" s="4" t="str">
        <f>HYPERLINK("http://141.218.60.56/~jnz1568/getInfo.php?workbook=11_01.xlsx&amp;sheet=A0&amp;row=250&amp;col=30&amp;number=&amp;sourceID=13","")</f>
        <v/>
      </c>
      <c r="AE250" s="4" t="str">
        <f>HYPERLINK("http://141.218.60.56/~jnz1568/getInfo.php?workbook=11_01.xlsx&amp;sheet=A0&amp;row=250&amp;col=31&amp;number=&amp;sourceID=13","")</f>
        <v/>
      </c>
    </row>
    <row r="251" spans="1:31">
      <c r="A251" s="3">
        <v>11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HYPERLINK("http://141.218.60.56/~jnz1568/getInfo.php?workbook=11_01.xlsx&amp;sheet=A0&amp;row=251&amp;col=6&amp;number=&amp;sourceID=18","")</f>
        <v/>
      </c>
      <c r="G251" s="4" t="str">
        <f>HYPERLINK("http://141.218.60.56/~jnz1568/getInfo.php?workbook=11_01.xlsx&amp;sheet=A0&amp;row=251&amp;col=7&amp;number==&amp;sourceID=11","=")</f>
        <v>=</v>
      </c>
      <c r="H251" s="4" t="str">
        <f>HYPERLINK("http://141.218.60.56/~jnz1568/getInfo.php?workbook=11_01.xlsx&amp;sheet=A0&amp;row=251&amp;col=8&amp;number=&amp;sourceID=11","")</f>
        <v/>
      </c>
      <c r="I251" s="4" t="str">
        <f>HYPERLINK("http://141.218.60.56/~jnz1568/getInfo.php?workbook=11_01.xlsx&amp;sheet=A0&amp;row=251&amp;col=9&amp;number=73107000&amp;sourceID=11","73107000")</f>
        <v>73107000</v>
      </c>
      <c r="J251" s="4" t="str">
        <f>HYPERLINK("http://141.218.60.56/~jnz1568/getInfo.php?workbook=11_01.xlsx&amp;sheet=A0&amp;row=251&amp;col=10&amp;number=&amp;sourceID=11","")</f>
        <v/>
      </c>
      <c r="K251" s="4" t="str">
        <f>HYPERLINK("http://141.218.60.56/~jnz1568/getInfo.php?workbook=11_01.xlsx&amp;sheet=A0&amp;row=251&amp;col=11&amp;number=&amp;sourceID=11","")</f>
        <v/>
      </c>
      <c r="L251" s="4" t="str">
        <f>HYPERLINK("http://141.218.60.56/~jnz1568/getInfo.php?workbook=11_01.xlsx&amp;sheet=A0&amp;row=251&amp;col=12&amp;number=&amp;sourceID=11","")</f>
        <v/>
      </c>
      <c r="M251" s="4" t="str">
        <f>HYPERLINK("http://141.218.60.56/~jnz1568/getInfo.php?workbook=11_01.xlsx&amp;sheet=A0&amp;row=251&amp;col=13&amp;number=7.1764&amp;sourceID=11","7.1764")</f>
        <v>7.1764</v>
      </c>
      <c r="N251" s="4" t="str">
        <f>HYPERLINK("http://141.218.60.56/~jnz1568/getInfo.php?workbook=11_01.xlsx&amp;sheet=A0&amp;row=251&amp;col=14&amp;number=73109000&amp;sourceID=12","73109000")</f>
        <v>73109000</v>
      </c>
      <c r="O251" s="4" t="str">
        <f>HYPERLINK("http://141.218.60.56/~jnz1568/getInfo.php?workbook=11_01.xlsx&amp;sheet=A0&amp;row=251&amp;col=15&amp;number=&amp;sourceID=12","")</f>
        <v/>
      </c>
      <c r="P251" s="4" t="str">
        <f>HYPERLINK("http://141.218.60.56/~jnz1568/getInfo.php?workbook=11_01.xlsx&amp;sheet=A0&amp;row=251&amp;col=16&amp;number=73109000&amp;sourceID=12","73109000")</f>
        <v>73109000</v>
      </c>
      <c r="Q251" s="4" t="str">
        <f>HYPERLINK("http://141.218.60.56/~jnz1568/getInfo.php?workbook=11_01.xlsx&amp;sheet=A0&amp;row=251&amp;col=17&amp;number=&amp;sourceID=12","")</f>
        <v/>
      </c>
      <c r="R251" s="4" t="str">
        <f>HYPERLINK("http://141.218.60.56/~jnz1568/getInfo.php?workbook=11_01.xlsx&amp;sheet=A0&amp;row=251&amp;col=18&amp;number=&amp;sourceID=12","")</f>
        <v/>
      </c>
      <c r="S251" s="4" t="str">
        <f>HYPERLINK("http://141.218.60.56/~jnz1568/getInfo.php?workbook=11_01.xlsx&amp;sheet=A0&amp;row=251&amp;col=19&amp;number=&amp;sourceID=12","")</f>
        <v/>
      </c>
      <c r="T251" s="4" t="str">
        <f>HYPERLINK("http://141.218.60.56/~jnz1568/getInfo.php?workbook=11_01.xlsx&amp;sheet=A0&amp;row=251&amp;col=20&amp;number=7.1766&amp;sourceID=12","7.1766")</f>
        <v>7.1766</v>
      </c>
      <c r="U251" s="4" t="str">
        <f>HYPERLINK("http://141.218.60.56/~jnz1568/getInfo.php?workbook=11_01.xlsx&amp;sheet=A0&amp;row=251&amp;col=21&amp;number=73110000&amp;sourceID=30","73110000")</f>
        <v>73110000</v>
      </c>
      <c r="V251" s="4" t="str">
        <f>HYPERLINK("http://141.218.60.56/~jnz1568/getInfo.php?workbook=11_01.xlsx&amp;sheet=A0&amp;row=251&amp;col=22&amp;number=&amp;sourceID=30","")</f>
        <v/>
      </c>
      <c r="W251" s="4" t="str">
        <f>HYPERLINK("http://141.218.60.56/~jnz1568/getInfo.php?workbook=11_01.xlsx&amp;sheet=A0&amp;row=251&amp;col=23&amp;number=73110000&amp;sourceID=30","73110000")</f>
        <v>73110000</v>
      </c>
      <c r="X251" s="4" t="str">
        <f>HYPERLINK("http://141.218.60.56/~jnz1568/getInfo.php?workbook=11_01.xlsx&amp;sheet=A0&amp;row=251&amp;col=24&amp;number=&amp;sourceID=30","")</f>
        <v/>
      </c>
      <c r="Y251" s="4" t="str">
        <f>HYPERLINK("http://141.218.60.56/~jnz1568/getInfo.php?workbook=11_01.xlsx&amp;sheet=A0&amp;row=251&amp;col=25&amp;number=&amp;sourceID=30","")</f>
        <v/>
      </c>
      <c r="Z251" s="4" t="str">
        <f>HYPERLINK("http://141.218.60.56/~jnz1568/getInfo.php?workbook=11_01.xlsx&amp;sheet=A0&amp;row=251&amp;col=26&amp;number=&amp;sourceID=13","")</f>
        <v/>
      </c>
      <c r="AA251" s="4" t="str">
        <f>HYPERLINK("http://141.218.60.56/~jnz1568/getInfo.php?workbook=11_01.xlsx&amp;sheet=A0&amp;row=251&amp;col=27&amp;number=&amp;sourceID=13","")</f>
        <v/>
      </c>
      <c r="AB251" s="4" t="str">
        <f>HYPERLINK("http://141.218.60.56/~jnz1568/getInfo.php?workbook=11_01.xlsx&amp;sheet=A0&amp;row=251&amp;col=28&amp;number=&amp;sourceID=13","")</f>
        <v/>
      </c>
      <c r="AC251" s="4" t="str">
        <f>HYPERLINK("http://141.218.60.56/~jnz1568/getInfo.php?workbook=11_01.xlsx&amp;sheet=A0&amp;row=251&amp;col=29&amp;number=&amp;sourceID=13","")</f>
        <v/>
      </c>
      <c r="AD251" s="4" t="str">
        <f>HYPERLINK("http://141.218.60.56/~jnz1568/getInfo.php?workbook=11_01.xlsx&amp;sheet=A0&amp;row=251&amp;col=30&amp;number=&amp;sourceID=13","")</f>
        <v/>
      </c>
      <c r="AE251" s="4" t="str">
        <f>HYPERLINK("http://141.218.60.56/~jnz1568/getInfo.php?workbook=11_01.xlsx&amp;sheet=A0&amp;row=251&amp;col=31&amp;number=&amp;sourceID=13","")</f>
        <v/>
      </c>
    </row>
    <row r="252" spans="1:31">
      <c r="A252" s="3">
        <v>11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HYPERLINK("http://141.218.60.56/~jnz1568/getInfo.php?workbook=11_01.xlsx&amp;sheet=A0&amp;row=252&amp;col=6&amp;number=&amp;sourceID=18","")</f>
        <v/>
      </c>
      <c r="G252" s="4" t="str">
        <f>HYPERLINK("http://141.218.60.56/~jnz1568/getInfo.php?workbook=11_01.xlsx&amp;sheet=A0&amp;row=252&amp;col=7&amp;number==&amp;sourceID=11","=")</f>
        <v>=</v>
      </c>
      <c r="H252" s="4" t="str">
        <f>HYPERLINK("http://141.218.60.56/~jnz1568/getInfo.php?workbook=11_01.xlsx&amp;sheet=A0&amp;row=252&amp;col=8&amp;number=&amp;sourceID=11","")</f>
        <v/>
      </c>
      <c r="I252" s="4" t="str">
        <f>HYPERLINK("http://141.218.60.56/~jnz1568/getInfo.php?workbook=11_01.xlsx&amp;sheet=A0&amp;row=252&amp;col=9&amp;number=&amp;sourceID=11","")</f>
        <v/>
      </c>
      <c r="J252" s="4" t="str">
        <f>HYPERLINK("http://141.218.60.56/~jnz1568/getInfo.php?workbook=11_01.xlsx&amp;sheet=A0&amp;row=252&amp;col=10&amp;number=&amp;sourceID=11","")</f>
        <v/>
      </c>
      <c r="K252" s="4" t="str">
        <f>HYPERLINK("http://141.218.60.56/~jnz1568/getInfo.php?workbook=11_01.xlsx&amp;sheet=A0&amp;row=252&amp;col=11&amp;number=&amp;sourceID=11","")</f>
        <v/>
      </c>
      <c r="L252" s="4" t="str">
        <f>HYPERLINK("http://141.218.60.56/~jnz1568/getInfo.php?workbook=11_01.xlsx&amp;sheet=A0&amp;row=252&amp;col=12&amp;number=&amp;sourceID=11","")</f>
        <v/>
      </c>
      <c r="M252" s="4" t="str">
        <f>HYPERLINK("http://141.218.60.56/~jnz1568/getInfo.php?workbook=11_01.xlsx&amp;sheet=A0&amp;row=252&amp;col=13&amp;number=0.0001995&amp;sourceID=11","0.0001995")</f>
        <v>0.0001995</v>
      </c>
      <c r="N252" s="4" t="str">
        <f>HYPERLINK("http://141.218.60.56/~jnz1568/getInfo.php?workbook=11_01.xlsx&amp;sheet=A0&amp;row=252&amp;col=14&amp;number=0.00019951&amp;sourceID=12","0.00019951")</f>
        <v>0.00019951</v>
      </c>
      <c r="O252" s="4" t="str">
        <f>HYPERLINK("http://141.218.60.56/~jnz1568/getInfo.php?workbook=11_01.xlsx&amp;sheet=A0&amp;row=252&amp;col=15&amp;number=&amp;sourceID=12","")</f>
        <v/>
      </c>
      <c r="P252" s="4" t="str">
        <f>HYPERLINK("http://141.218.60.56/~jnz1568/getInfo.php?workbook=11_01.xlsx&amp;sheet=A0&amp;row=252&amp;col=16&amp;number=&amp;sourceID=12","")</f>
        <v/>
      </c>
      <c r="Q252" s="4" t="str">
        <f>HYPERLINK("http://141.218.60.56/~jnz1568/getInfo.php?workbook=11_01.xlsx&amp;sheet=A0&amp;row=252&amp;col=17&amp;number=&amp;sourceID=12","")</f>
        <v/>
      </c>
      <c r="R252" s="4" t="str">
        <f>HYPERLINK("http://141.218.60.56/~jnz1568/getInfo.php?workbook=11_01.xlsx&amp;sheet=A0&amp;row=252&amp;col=18&amp;number=&amp;sourceID=12","")</f>
        <v/>
      </c>
      <c r="S252" s="4" t="str">
        <f>HYPERLINK("http://141.218.60.56/~jnz1568/getInfo.php?workbook=11_01.xlsx&amp;sheet=A0&amp;row=252&amp;col=19&amp;number=&amp;sourceID=12","")</f>
        <v/>
      </c>
      <c r="T252" s="4" t="str">
        <f>HYPERLINK("http://141.218.60.56/~jnz1568/getInfo.php?workbook=11_01.xlsx&amp;sheet=A0&amp;row=252&amp;col=20&amp;number=0.00019951&amp;sourceID=12","0.00019951")</f>
        <v>0.00019951</v>
      </c>
      <c r="U252" s="4" t="str">
        <f>HYPERLINK("http://141.218.60.56/~jnz1568/getInfo.php?workbook=11_01.xlsx&amp;sheet=A0&amp;row=252&amp;col=21&amp;number=&amp;sourceID=30","")</f>
        <v/>
      </c>
      <c r="V252" s="4" t="str">
        <f>HYPERLINK("http://141.218.60.56/~jnz1568/getInfo.php?workbook=11_01.xlsx&amp;sheet=A0&amp;row=252&amp;col=22&amp;number=&amp;sourceID=30","")</f>
        <v/>
      </c>
      <c r="W252" s="4" t="str">
        <f>HYPERLINK("http://141.218.60.56/~jnz1568/getInfo.php?workbook=11_01.xlsx&amp;sheet=A0&amp;row=252&amp;col=23&amp;number=&amp;sourceID=30","")</f>
        <v/>
      </c>
      <c r="X252" s="4" t="str">
        <f>HYPERLINK("http://141.218.60.56/~jnz1568/getInfo.php?workbook=11_01.xlsx&amp;sheet=A0&amp;row=252&amp;col=24&amp;number=&amp;sourceID=30","")</f>
        <v/>
      </c>
      <c r="Y252" s="4" t="str">
        <f>HYPERLINK("http://141.218.60.56/~jnz1568/getInfo.php?workbook=11_01.xlsx&amp;sheet=A0&amp;row=252&amp;col=25&amp;number=&amp;sourceID=30","")</f>
        <v/>
      </c>
      <c r="Z252" s="4" t="str">
        <f>HYPERLINK("http://141.218.60.56/~jnz1568/getInfo.php?workbook=11_01.xlsx&amp;sheet=A0&amp;row=252&amp;col=26&amp;number=&amp;sourceID=13","")</f>
        <v/>
      </c>
      <c r="AA252" s="4" t="str">
        <f>HYPERLINK("http://141.218.60.56/~jnz1568/getInfo.php?workbook=11_01.xlsx&amp;sheet=A0&amp;row=252&amp;col=27&amp;number=&amp;sourceID=13","")</f>
        <v/>
      </c>
      <c r="AB252" s="4" t="str">
        <f>HYPERLINK("http://141.218.60.56/~jnz1568/getInfo.php?workbook=11_01.xlsx&amp;sheet=A0&amp;row=252&amp;col=28&amp;number=&amp;sourceID=13","")</f>
        <v/>
      </c>
      <c r="AC252" s="4" t="str">
        <f>HYPERLINK("http://141.218.60.56/~jnz1568/getInfo.php?workbook=11_01.xlsx&amp;sheet=A0&amp;row=252&amp;col=29&amp;number=&amp;sourceID=13","")</f>
        <v/>
      </c>
      <c r="AD252" s="4" t="str">
        <f>HYPERLINK("http://141.218.60.56/~jnz1568/getInfo.php?workbook=11_01.xlsx&amp;sheet=A0&amp;row=252&amp;col=30&amp;number=&amp;sourceID=13","")</f>
        <v/>
      </c>
      <c r="AE252" s="4" t="str">
        <f>HYPERLINK("http://141.218.60.56/~jnz1568/getInfo.php?workbook=11_01.xlsx&amp;sheet=A0&amp;row=252&amp;col=31&amp;number=&amp;sourceID=13","")</f>
        <v/>
      </c>
    </row>
    <row r="253" spans="1:31">
      <c r="A253" s="3">
        <v>11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HYPERLINK("http://141.218.60.56/~jnz1568/getInfo.php?workbook=11_01.xlsx&amp;sheet=A0&amp;row=253&amp;col=6&amp;number=&amp;sourceID=18","")</f>
        <v/>
      </c>
      <c r="G253" s="4" t="str">
        <f>HYPERLINK("http://141.218.60.56/~jnz1568/getInfo.php?workbook=11_01.xlsx&amp;sheet=A0&amp;row=253&amp;col=7&amp;number==&amp;sourceID=11","=")</f>
        <v>=</v>
      </c>
      <c r="H253" s="4" t="str">
        <f>HYPERLINK("http://141.218.60.56/~jnz1568/getInfo.php?workbook=11_01.xlsx&amp;sheet=A0&amp;row=253&amp;col=8&amp;number=&amp;sourceID=11","")</f>
        <v/>
      </c>
      <c r="I253" s="4" t="str">
        <f>HYPERLINK("http://141.218.60.56/~jnz1568/getInfo.php?workbook=11_01.xlsx&amp;sheet=A0&amp;row=253&amp;col=9&amp;number=&amp;sourceID=11","")</f>
        <v/>
      </c>
      <c r="J253" s="4" t="str">
        <f>HYPERLINK("http://141.218.60.56/~jnz1568/getInfo.php?workbook=11_01.xlsx&amp;sheet=A0&amp;row=253&amp;col=10&amp;number=226&amp;sourceID=11","226")</f>
        <v>226</v>
      </c>
      <c r="K253" s="4" t="str">
        <f>HYPERLINK("http://141.218.60.56/~jnz1568/getInfo.php?workbook=11_01.xlsx&amp;sheet=A0&amp;row=253&amp;col=11&amp;number=&amp;sourceID=11","")</f>
        <v/>
      </c>
      <c r="L253" s="4" t="str">
        <f>HYPERLINK("http://141.218.60.56/~jnz1568/getInfo.php?workbook=11_01.xlsx&amp;sheet=A0&amp;row=253&amp;col=12&amp;number=&amp;sourceID=11","")</f>
        <v/>
      </c>
      <c r="M253" s="4" t="str">
        <f>HYPERLINK("http://141.218.60.56/~jnz1568/getInfo.php?workbook=11_01.xlsx&amp;sheet=A0&amp;row=253&amp;col=13&amp;number=&amp;sourceID=11","")</f>
        <v/>
      </c>
      <c r="N253" s="4" t="str">
        <f>HYPERLINK("http://141.218.60.56/~jnz1568/getInfo.php?workbook=11_01.xlsx&amp;sheet=A0&amp;row=253&amp;col=14&amp;number=226&amp;sourceID=12","226")</f>
        <v>226</v>
      </c>
      <c r="O253" s="4" t="str">
        <f>HYPERLINK("http://141.218.60.56/~jnz1568/getInfo.php?workbook=11_01.xlsx&amp;sheet=A0&amp;row=253&amp;col=15&amp;number=&amp;sourceID=12","")</f>
        <v/>
      </c>
      <c r="P253" s="4" t="str">
        <f>HYPERLINK("http://141.218.60.56/~jnz1568/getInfo.php?workbook=11_01.xlsx&amp;sheet=A0&amp;row=253&amp;col=16&amp;number=&amp;sourceID=12","")</f>
        <v/>
      </c>
      <c r="Q253" s="4" t="str">
        <f>HYPERLINK("http://141.218.60.56/~jnz1568/getInfo.php?workbook=11_01.xlsx&amp;sheet=A0&amp;row=253&amp;col=17&amp;number=226&amp;sourceID=12","226")</f>
        <v>226</v>
      </c>
      <c r="R253" s="4" t="str">
        <f>HYPERLINK("http://141.218.60.56/~jnz1568/getInfo.php?workbook=11_01.xlsx&amp;sheet=A0&amp;row=253&amp;col=18&amp;number=&amp;sourceID=12","")</f>
        <v/>
      </c>
      <c r="S253" s="4" t="str">
        <f>HYPERLINK("http://141.218.60.56/~jnz1568/getInfo.php?workbook=11_01.xlsx&amp;sheet=A0&amp;row=253&amp;col=19&amp;number=&amp;sourceID=12","")</f>
        <v/>
      </c>
      <c r="T253" s="4" t="str">
        <f>HYPERLINK("http://141.218.60.56/~jnz1568/getInfo.php?workbook=11_01.xlsx&amp;sheet=A0&amp;row=253&amp;col=20&amp;number=&amp;sourceID=12","")</f>
        <v/>
      </c>
      <c r="U253" s="4" t="str">
        <f>HYPERLINK("http://141.218.60.56/~jnz1568/getInfo.php?workbook=11_01.xlsx&amp;sheet=A0&amp;row=253&amp;col=21&amp;number=&amp;sourceID=30","")</f>
        <v/>
      </c>
      <c r="V253" s="4" t="str">
        <f>HYPERLINK("http://141.218.60.56/~jnz1568/getInfo.php?workbook=11_01.xlsx&amp;sheet=A0&amp;row=253&amp;col=22&amp;number=&amp;sourceID=30","")</f>
        <v/>
      </c>
      <c r="W253" s="4" t="str">
        <f>HYPERLINK("http://141.218.60.56/~jnz1568/getInfo.php?workbook=11_01.xlsx&amp;sheet=A0&amp;row=253&amp;col=23&amp;number=&amp;sourceID=30","")</f>
        <v/>
      </c>
      <c r="X253" s="4" t="str">
        <f>HYPERLINK("http://141.218.60.56/~jnz1568/getInfo.php?workbook=11_01.xlsx&amp;sheet=A0&amp;row=253&amp;col=24&amp;number=&amp;sourceID=30","")</f>
        <v/>
      </c>
      <c r="Y253" s="4" t="str">
        <f>HYPERLINK("http://141.218.60.56/~jnz1568/getInfo.php?workbook=11_01.xlsx&amp;sheet=A0&amp;row=253&amp;col=25&amp;number=&amp;sourceID=30","")</f>
        <v/>
      </c>
      <c r="Z253" s="4" t="str">
        <f>HYPERLINK("http://141.218.60.56/~jnz1568/getInfo.php?workbook=11_01.xlsx&amp;sheet=A0&amp;row=253&amp;col=26&amp;number=&amp;sourceID=13","")</f>
        <v/>
      </c>
      <c r="AA253" s="4" t="str">
        <f>HYPERLINK("http://141.218.60.56/~jnz1568/getInfo.php?workbook=11_01.xlsx&amp;sheet=A0&amp;row=253&amp;col=27&amp;number=&amp;sourceID=13","")</f>
        <v/>
      </c>
      <c r="AB253" s="4" t="str">
        <f>HYPERLINK("http://141.218.60.56/~jnz1568/getInfo.php?workbook=11_01.xlsx&amp;sheet=A0&amp;row=253&amp;col=28&amp;number=&amp;sourceID=13","")</f>
        <v/>
      </c>
      <c r="AC253" s="4" t="str">
        <f>HYPERLINK("http://141.218.60.56/~jnz1568/getInfo.php?workbook=11_01.xlsx&amp;sheet=A0&amp;row=253&amp;col=29&amp;number=&amp;sourceID=13","")</f>
        <v/>
      </c>
      <c r="AD253" s="4" t="str">
        <f>HYPERLINK("http://141.218.60.56/~jnz1568/getInfo.php?workbook=11_01.xlsx&amp;sheet=A0&amp;row=253&amp;col=30&amp;number=&amp;sourceID=13","")</f>
        <v/>
      </c>
      <c r="AE253" s="4" t="str">
        <f>HYPERLINK("http://141.218.60.56/~jnz1568/getInfo.php?workbook=11_01.xlsx&amp;sheet=A0&amp;row=253&amp;col=31&amp;number=&amp;sourceID=13","")</f>
        <v/>
      </c>
    </row>
    <row r="254" spans="1:31">
      <c r="A254" s="3">
        <v>11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HYPERLINK("http://141.218.60.56/~jnz1568/getInfo.php?workbook=11_01.xlsx&amp;sheet=A0&amp;row=254&amp;col=6&amp;number=&amp;sourceID=18","")</f>
        <v/>
      </c>
      <c r="G254" s="4" t="str">
        <f>HYPERLINK("http://141.218.60.56/~jnz1568/getInfo.php?workbook=11_01.xlsx&amp;sheet=A0&amp;row=254&amp;col=7&amp;number==&amp;sourceID=11","=")</f>
        <v>=</v>
      </c>
      <c r="H254" s="4" t="str">
        <f>HYPERLINK("http://141.218.60.56/~jnz1568/getInfo.php?workbook=11_01.xlsx&amp;sheet=A0&amp;row=254&amp;col=8&amp;number=&amp;sourceID=11","")</f>
        <v/>
      </c>
      <c r="I254" s="4" t="str">
        <f>HYPERLINK("http://141.218.60.56/~jnz1568/getInfo.php?workbook=11_01.xlsx&amp;sheet=A0&amp;row=254&amp;col=9&amp;number=&amp;sourceID=11","")</f>
        <v/>
      </c>
      <c r="J254" s="4" t="str">
        <f>HYPERLINK("http://141.218.60.56/~jnz1568/getInfo.php?workbook=11_01.xlsx&amp;sheet=A0&amp;row=254&amp;col=10&amp;number=2.4679&amp;sourceID=11","2.4679")</f>
        <v>2.4679</v>
      </c>
      <c r="K254" s="4" t="str">
        <f>HYPERLINK("http://141.218.60.56/~jnz1568/getInfo.php?workbook=11_01.xlsx&amp;sheet=A0&amp;row=254&amp;col=11&amp;number=&amp;sourceID=11","")</f>
        <v/>
      </c>
      <c r="L254" s="4" t="str">
        <f>HYPERLINK("http://141.218.60.56/~jnz1568/getInfo.php?workbook=11_01.xlsx&amp;sheet=A0&amp;row=254&amp;col=12&amp;number=186.83&amp;sourceID=11","186.83")</f>
        <v>186.83</v>
      </c>
      <c r="M254" s="4" t="str">
        <f>HYPERLINK("http://141.218.60.56/~jnz1568/getInfo.php?workbook=11_01.xlsx&amp;sheet=A0&amp;row=254&amp;col=13&amp;number=&amp;sourceID=11","")</f>
        <v/>
      </c>
      <c r="N254" s="4" t="str">
        <f>HYPERLINK("http://141.218.60.56/~jnz1568/getInfo.php?workbook=11_01.xlsx&amp;sheet=A0&amp;row=254&amp;col=14&amp;number=189.3&amp;sourceID=12","189.3")</f>
        <v>189.3</v>
      </c>
      <c r="O254" s="4" t="str">
        <f>HYPERLINK("http://141.218.60.56/~jnz1568/getInfo.php?workbook=11_01.xlsx&amp;sheet=A0&amp;row=254&amp;col=15&amp;number=&amp;sourceID=12","")</f>
        <v/>
      </c>
      <c r="P254" s="4" t="str">
        <f>HYPERLINK("http://141.218.60.56/~jnz1568/getInfo.php?workbook=11_01.xlsx&amp;sheet=A0&amp;row=254&amp;col=16&amp;number=&amp;sourceID=12","")</f>
        <v/>
      </c>
      <c r="Q254" s="4" t="str">
        <f>HYPERLINK("http://141.218.60.56/~jnz1568/getInfo.php?workbook=11_01.xlsx&amp;sheet=A0&amp;row=254&amp;col=17&amp;number=2.4679&amp;sourceID=12","2.4679")</f>
        <v>2.4679</v>
      </c>
      <c r="R254" s="4" t="str">
        <f>HYPERLINK("http://141.218.60.56/~jnz1568/getInfo.php?workbook=11_01.xlsx&amp;sheet=A0&amp;row=254&amp;col=18&amp;number=&amp;sourceID=12","")</f>
        <v/>
      </c>
      <c r="S254" s="4" t="str">
        <f>HYPERLINK("http://141.218.60.56/~jnz1568/getInfo.php?workbook=11_01.xlsx&amp;sheet=A0&amp;row=254&amp;col=19&amp;number=186.83&amp;sourceID=12","186.83")</f>
        <v>186.83</v>
      </c>
      <c r="T254" s="4" t="str">
        <f>HYPERLINK("http://141.218.60.56/~jnz1568/getInfo.php?workbook=11_01.xlsx&amp;sheet=A0&amp;row=254&amp;col=20&amp;number=&amp;sourceID=12","")</f>
        <v/>
      </c>
      <c r="U254" s="4" t="str">
        <f>HYPERLINK("http://141.218.60.56/~jnz1568/getInfo.php?workbook=11_01.xlsx&amp;sheet=A0&amp;row=254&amp;col=21&amp;number=186.8&amp;sourceID=30","186.8")</f>
        <v>186.8</v>
      </c>
      <c r="V254" s="4" t="str">
        <f>HYPERLINK("http://141.218.60.56/~jnz1568/getInfo.php?workbook=11_01.xlsx&amp;sheet=A0&amp;row=254&amp;col=22&amp;number=&amp;sourceID=30","")</f>
        <v/>
      </c>
      <c r="W254" s="4" t="str">
        <f>HYPERLINK("http://141.218.60.56/~jnz1568/getInfo.php?workbook=11_01.xlsx&amp;sheet=A0&amp;row=254&amp;col=23&amp;number=&amp;sourceID=30","")</f>
        <v/>
      </c>
      <c r="X254" s="4" t="str">
        <f>HYPERLINK("http://141.218.60.56/~jnz1568/getInfo.php?workbook=11_01.xlsx&amp;sheet=A0&amp;row=254&amp;col=24&amp;number=&amp;sourceID=30","")</f>
        <v/>
      </c>
      <c r="Y254" s="4" t="str">
        <f>HYPERLINK("http://141.218.60.56/~jnz1568/getInfo.php?workbook=11_01.xlsx&amp;sheet=A0&amp;row=254&amp;col=25&amp;number=186.8&amp;sourceID=30","186.8")</f>
        <v>186.8</v>
      </c>
      <c r="Z254" s="4" t="str">
        <f>HYPERLINK("http://141.218.60.56/~jnz1568/getInfo.php?workbook=11_01.xlsx&amp;sheet=A0&amp;row=254&amp;col=26&amp;number=&amp;sourceID=13","")</f>
        <v/>
      </c>
      <c r="AA254" s="4" t="str">
        <f>HYPERLINK("http://141.218.60.56/~jnz1568/getInfo.php?workbook=11_01.xlsx&amp;sheet=A0&amp;row=254&amp;col=27&amp;number=&amp;sourceID=13","")</f>
        <v/>
      </c>
      <c r="AB254" s="4" t="str">
        <f>HYPERLINK("http://141.218.60.56/~jnz1568/getInfo.php?workbook=11_01.xlsx&amp;sheet=A0&amp;row=254&amp;col=28&amp;number=&amp;sourceID=13","")</f>
        <v/>
      </c>
      <c r="AC254" s="4" t="str">
        <f>HYPERLINK("http://141.218.60.56/~jnz1568/getInfo.php?workbook=11_01.xlsx&amp;sheet=A0&amp;row=254&amp;col=29&amp;number=&amp;sourceID=13","")</f>
        <v/>
      </c>
      <c r="AD254" s="4" t="str">
        <f>HYPERLINK("http://141.218.60.56/~jnz1568/getInfo.php?workbook=11_01.xlsx&amp;sheet=A0&amp;row=254&amp;col=30&amp;number=&amp;sourceID=13","")</f>
        <v/>
      </c>
      <c r="AE254" s="4" t="str">
        <f>HYPERLINK("http://141.218.60.56/~jnz1568/getInfo.php?workbook=11_01.xlsx&amp;sheet=A0&amp;row=254&amp;col=31&amp;number=&amp;sourceID=13","")</f>
        <v/>
      </c>
    </row>
    <row r="255" spans="1:31">
      <c r="A255" s="3">
        <v>11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HYPERLINK("http://141.218.60.56/~jnz1568/getInfo.php?workbook=11_01.xlsx&amp;sheet=A0&amp;row=255&amp;col=6&amp;number=&amp;sourceID=18","")</f>
        <v/>
      </c>
      <c r="G255" s="4" t="str">
        <f>HYPERLINK("http://141.218.60.56/~jnz1568/getInfo.php?workbook=11_01.xlsx&amp;sheet=A0&amp;row=255&amp;col=7&amp;number==&amp;sourceID=11","=")</f>
        <v>=</v>
      </c>
      <c r="H255" s="4" t="str">
        <f>HYPERLINK("http://141.218.60.56/~jnz1568/getInfo.php?workbook=11_01.xlsx&amp;sheet=A0&amp;row=255&amp;col=8&amp;number=&amp;sourceID=11","")</f>
        <v/>
      </c>
      <c r="I255" s="4" t="str">
        <f>HYPERLINK("http://141.218.60.56/~jnz1568/getInfo.php?workbook=11_01.xlsx&amp;sheet=A0&amp;row=255&amp;col=9&amp;number=47564&amp;sourceID=11","47564")</f>
        <v>47564</v>
      </c>
      <c r="J255" s="4" t="str">
        <f>HYPERLINK("http://141.218.60.56/~jnz1568/getInfo.php?workbook=11_01.xlsx&amp;sheet=A0&amp;row=255&amp;col=10&amp;number=&amp;sourceID=11","")</f>
        <v/>
      </c>
      <c r="K255" s="4" t="str">
        <f>HYPERLINK("http://141.218.60.56/~jnz1568/getInfo.php?workbook=11_01.xlsx&amp;sheet=A0&amp;row=255&amp;col=11&amp;number=&amp;sourceID=11","")</f>
        <v/>
      </c>
      <c r="L255" s="4" t="str">
        <f>HYPERLINK("http://141.218.60.56/~jnz1568/getInfo.php?workbook=11_01.xlsx&amp;sheet=A0&amp;row=255&amp;col=12&amp;number=&amp;sourceID=11","")</f>
        <v/>
      </c>
      <c r="M255" s="4" t="str">
        <f>HYPERLINK("http://141.218.60.56/~jnz1568/getInfo.php?workbook=11_01.xlsx&amp;sheet=A0&amp;row=255&amp;col=13&amp;number=0.00053407&amp;sourceID=11","0.00053407")</f>
        <v>0.00053407</v>
      </c>
      <c r="N255" s="4" t="str">
        <f>HYPERLINK("http://141.218.60.56/~jnz1568/getInfo.php?workbook=11_01.xlsx&amp;sheet=A0&amp;row=255&amp;col=14&amp;number=47565&amp;sourceID=12","47565")</f>
        <v>47565</v>
      </c>
      <c r="O255" s="4" t="str">
        <f>HYPERLINK("http://141.218.60.56/~jnz1568/getInfo.php?workbook=11_01.xlsx&amp;sheet=A0&amp;row=255&amp;col=15&amp;number=&amp;sourceID=12","")</f>
        <v/>
      </c>
      <c r="P255" s="4" t="str">
        <f>HYPERLINK("http://141.218.60.56/~jnz1568/getInfo.php?workbook=11_01.xlsx&amp;sheet=A0&amp;row=255&amp;col=16&amp;number=47565&amp;sourceID=12","47565")</f>
        <v>47565</v>
      </c>
      <c r="Q255" s="4" t="str">
        <f>HYPERLINK("http://141.218.60.56/~jnz1568/getInfo.php?workbook=11_01.xlsx&amp;sheet=A0&amp;row=255&amp;col=17&amp;number=&amp;sourceID=12","")</f>
        <v/>
      </c>
      <c r="R255" s="4" t="str">
        <f>HYPERLINK("http://141.218.60.56/~jnz1568/getInfo.php?workbook=11_01.xlsx&amp;sheet=A0&amp;row=255&amp;col=18&amp;number=&amp;sourceID=12","")</f>
        <v/>
      </c>
      <c r="S255" s="4" t="str">
        <f>HYPERLINK("http://141.218.60.56/~jnz1568/getInfo.php?workbook=11_01.xlsx&amp;sheet=A0&amp;row=255&amp;col=19&amp;number=&amp;sourceID=12","")</f>
        <v/>
      </c>
      <c r="T255" s="4" t="str">
        <f>HYPERLINK("http://141.218.60.56/~jnz1568/getInfo.php?workbook=11_01.xlsx&amp;sheet=A0&amp;row=255&amp;col=20&amp;number=0.00053408&amp;sourceID=12","0.00053408")</f>
        <v>0.00053408</v>
      </c>
      <c r="U255" s="4" t="str">
        <f>HYPERLINK("http://141.218.60.56/~jnz1568/getInfo.php?workbook=11_01.xlsx&amp;sheet=A0&amp;row=255&amp;col=21&amp;number=47560&amp;sourceID=30","47560")</f>
        <v>47560</v>
      </c>
      <c r="V255" s="4" t="str">
        <f>HYPERLINK("http://141.218.60.56/~jnz1568/getInfo.php?workbook=11_01.xlsx&amp;sheet=A0&amp;row=255&amp;col=22&amp;number=&amp;sourceID=30","")</f>
        <v/>
      </c>
      <c r="W255" s="4" t="str">
        <f>HYPERLINK("http://141.218.60.56/~jnz1568/getInfo.php?workbook=11_01.xlsx&amp;sheet=A0&amp;row=255&amp;col=23&amp;number=47560&amp;sourceID=30","47560")</f>
        <v>47560</v>
      </c>
      <c r="X255" s="4" t="str">
        <f>HYPERLINK("http://141.218.60.56/~jnz1568/getInfo.php?workbook=11_01.xlsx&amp;sheet=A0&amp;row=255&amp;col=24&amp;number=&amp;sourceID=30","")</f>
        <v/>
      </c>
      <c r="Y255" s="4" t="str">
        <f>HYPERLINK("http://141.218.60.56/~jnz1568/getInfo.php?workbook=11_01.xlsx&amp;sheet=A0&amp;row=255&amp;col=25&amp;number=&amp;sourceID=30","")</f>
        <v/>
      </c>
      <c r="Z255" s="4" t="str">
        <f>HYPERLINK("http://141.218.60.56/~jnz1568/getInfo.php?workbook=11_01.xlsx&amp;sheet=A0&amp;row=255&amp;col=26&amp;number=&amp;sourceID=13","")</f>
        <v/>
      </c>
      <c r="AA255" s="4" t="str">
        <f>HYPERLINK("http://141.218.60.56/~jnz1568/getInfo.php?workbook=11_01.xlsx&amp;sheet=A0&amp;row=255&amp;col=27&amp;number=&amp;sourceID=13","")</f>
        <v/>
      </c>
      <c r="AB255" s="4" t="str">
        <f>HYPERLINK("http://141.218.60.56/~jnz1568/getInfo.php?workbook=11_01.xlsx&amp;sheet=A0&amp;row=255&amp;col=28&amp;number=&amp;sourceID=13","")</f>
        <v/>
      </c>
      <c r="AC255" s="4" t="str">
        <f>HYPERLINK("http://141.218.60.56/~jnz1568/getInfo.php?workbook=11_01.xlsx&amp;sheet=A0&amp;row=255&amp;col=29&amp;number=&amp;sourceID=13","")</f>
        <v/>
      </c>
      <c r="AD255" s="4" t="str">
        <f>HYPERLINK("http://141.218.60.56/~jnz1568/getInfo.php?workbook=11_01.xlsx&amp;sheet=A0&amp;row=255&amp;col=30&amp;number=&amp;sourceID=13","")</f>
        <v/>
      </c>
      <c r="AE255" s="4" t="str">
        <f>HYPERLINK("http://141.218.60.56/~jnz1568/getInfo.php?workbook=11_01.xlsx&amp;sheet=A0&amp;row=255&amp;col=31&amp;number=&amp;sourceID=13","")</f>
        <v/>
      </c>
    </row>
    <row r="256" spans="1:31">
      <c r="A256" s="3">
        <v>11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HYPERLINK("http://141.218.60.56/~jnz1568/getInfo.php?workbook=11_01.xlsx&amp;sheet=A0&amp;row=256&amp;col=6&amp;number=&amp;sourceID=18","")</f>
        <v/>
      </c>
      <c r="G256" s="4" t="str">
        <f>HYPERLINK("http://141.218.60.56/~jnz1568/getInfo.php?workbook=11_01.xlsx&amp;sheet=A0&amp;row=256&amp;col=7&amp;number==&amp;sourceID=11","=")</f>
        <v>=</v>
      </c>
      <c r="H256" s="4" t="str">
        <f>HYPERLINK("http://141.218.60.56/~jnz1568/getInfo.php?workbook=11_01.xlsx&amp;sheet=A0&amp;row=256&amp;col=8&amp;number=66537000000&amp;sourceID=11","66537000000")</f>
        <v>66537000000</v>
      </c>
      <c r="I256" s="4" t="str">
        <f>HYPERLINK("http://141.218.60.56/~jnz1568/getInfo.php?workbook=11_01.xlsx&amp;sheet=A0&amp;row=256&amp;col=9&amp;number=&amp;sourceID=11","")</f>
        <v/>
      </c>
      <c r="J256" s="4" t="str">
        <f>HYPERLINK("http://141.218.60.56/~jnz1568/getInfo.php?workbook=11_01.xlsx&amp;sheet=A0&amp;row=256&amp;col=10&amp;number=7.4706&amp;sourceID=11","7.4706")</f>
        <v>7.4706</v>
      </c>
      <c r="K256" s="4" t="str">
        <f>HYPERLINK("http://141.218.60.56/~jnz1568/getInfo.php?workbook=11_01.xlsx&amp;sheet=A0&amp;row=256&amp;col=11&amp;number=&amp;sourceID=11","")</f>
        <v/>
      </c>
      <c r="L256" s="4" t="str">
        <f>HYPERLINK("http://141.218.60.56/~jnz1568/getInfo.php?workbook=11_01.xlsx&amp;sheet=A0&amp;row=256&amp;col=12&amp;number=1283.2&amp;sourceID=11","1283.2")</f>
        <v>1283.2</v>
      </c>
      <c r="M256" s="4" t="str">
        <f>HYPERLINK("http://141.218.60.56/~jnz1568/getInfo.php?workbook=11_01.xlsx&amp;sheet=A0&amp;row=256&amp;col=13&amp;number=&amp;sourceID=11","")</f>
        <v/>
      </c>
      <c r="N256" s="4" t="str">
        <f>HYPERLINK("http://141.218.60.56/~jnz1568/getInfo.php?workbook=11_01.xlsx&amp;sheet=A0&amp;row=256&amp;col=14&amp;number=66539000000&amp;sourceID=12","66539000000")</f>
        <v>66539000000</v>
      </c>
      <c r="O256" s="4" t="str">
        <f>HYPERLINK("http://141.218.60.56/~jnz1568/getInfo.php?workbook=11_01.xlsx&amp;sheet=A0&amp;row=256&amp;col=15&amp;number=66539000000&amp;sourceID=12","66539000000")</f>
        <v>66539000000</v>
      </c>
      <c r="P256" s="4" t="str">
        <f>HYPERLINK("http://141.218.60.56/~jnz1568/getInfo.php?workbook=11_01.xlsx&amp;sheet=A0&amp;row=256&amp;col=16&amp;number=&amp;sourceID=12","")</f>
        <v/>
      </c>
      <c r="Q256" s="4" t="str">
        <f>HYPERLINK("http://141.218.60.56/~jnz1568/getInfo.php?workbook=11_01.xlsx&amp;sheet=A0&amp;row=256&amp;col=17&amp;number=7.4708&amp;sourceID=12","7.4708")</f>
        <v>7.4708</v>
      </c>
      <c r="R256" s="4" t="str">
        <f>HYPERLINK("http://141.218.60.56/~jnz1568/getInfo.php?workbook=11_01.xlsx&amp;sheet=A0&amp;row=256&amp;col=18&amp;number=&amp;sourceID=12","")</f>
        <v/>
      </c>
      <c r="S256" s="4" t="str">
        <f>HYPERLINK("http://141.218.60.56/~jnz1568/getInfo.php?workbook=11_01.xlsx&amp;sheet=A0&amp;row=256&amp;col=19&amp;number=1283.2&amp;sourceID=12","1283.2")</f>
        <v>1283.2</v>
      </c>
      <c r="T256" s="4" t="str">
        <f>HYPERLINK("http://141.218.60.56/~jnz1568/getInfo.php?workbook=11_01.xlsx&amp;sheet=A0&amp;row=256&amp;col=20&amp;number=&amp;sourceID=12","")</f>
        <v/>
      </c>
      <c r="U256" s="4" t="str">
        <f>HYPERLINK("http://141.218.60.56/~jnz1568/getInfo.php?workbook=11_01.xlsx&amp;sheet=A0&amp;row=256&amp;col=21&amp;number=66540001283&amp;sourceID=30","66540001283")</f>
        <v>66540001283</v>
      </c>
      <c r="V256" s="4" t="str">
        <f>HYPERLINK("http://141.218.60.56/~jnz1568/getInfo.php?workbook=11_01.xlsx&amp;sheet=A0&amp;row=256&amp;col=22&amp;number=66540000000&amp;sourceID=30","66540000000")</f>
        <v>66540000000</v>
      </c>
      <c r="W256" s="4" t="str">
        <f>HYPERLINK("http://141.218.60.56/~jnz1568/getInfo.php?workbook=11_01.xlsx&amp;sheet=A0&amp;row=256&amp;col=23&amp;number=&amp;sourceID=30","")</f>
        <v/>
      </c>
      <c r="X256" s="4" t="str">
        <f>HYPERLINK("http://141.218.60.56/~jnz1568/getInfo.php?workbook=11_01.xlsx&amp;sheet=A0&amp;row=256&amp;col=24&amp;number=&amp;sourceID=30","")</f>
        <v/>
      </c>
      <c r="Y256" s="4" t="str">
        <f>HYPERLINK("http://141.218.60.56/~jnz1568/getInfo.php?workbook=11_01.xlsx&amp;sheet=A0&amp;row=256&amp;col=25&amp;number=1283&amp;sourceID=30","1283")</f>
        <v>1283</v>
      </c>
      <c r="Z256" s="4" t="str">
        <f>HYPERLINK("http://141.218.60.56/~jnz1568/getInfo.php?workbook=11_01.xlsx&amp;sheet=A0&amp;row=256&amp;col=26&amp;number=&amp;sourceID=13","")</f>
        <v/>
      </c>
      <c r="AA256" s="4" t="str">
        <f>HYPERLINK("http://141.218.60.56/~jnz1568/getInfo.php?workbook=11_01.xlsx&amp;sheet=A0&amp;row=256&amp;col=27&amp;number=&amp;sourceID=13","")</f>
        <v/>
      </c>
      <c r="AB256" s="4" t="str">
        <f>HYPERLINK("http://141.218.60.56/~jnz1568/getInfo.php?workbook=11_01.xlsx&amp;sheet=A0&amp;row=256&amp;col=28&amp;number=&amp;sourceID=13","")</f>
        <v/>
      </c>
      <c r="AC256" s="4" t="str">
        <f>HYPERLINK("http://141.218.60.56/~jnz1568/getInfo.php?workbook=11_01.xlsx&amp;sheet=A0&amp;row=256&amp;col=29&amp;number=&amp;sourceID=13","")</f>
        <v/>
      </c>
      <c r="AD256" s="4" t="str">
        <f>HYPERLINK("http://141.218.60.56/~jnz1568/getInfo.php?workbook=11_01.xlsx&amp;sheet=A0&amp;row=256&amp;col=30&amp;number=&amp;sourceID=13","")</f>
        <v/>
      </c>
      <c r="AE256" s="4" t="str">
        <f>HYPERLINK("http://141.218.60.56/~jnz1568/getInfo.php?workbook=11_01.xlsx&amp;sheet=A0&amp;row=256&amp;col=31&amp;number=&amp;sourceID=13","")</f>
        <v/>
      </c>
    </row>
    <row r="257" spans="1:31">
      <c r="A257" s="3">
        <v>11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HYPERLINK("http://141.218.60.56/~jnz1568/getInfo.php?workbook=11_01.xlsx&amp;sheet=A0&amp;row=257&amp;col=6&amp;number=&amp;sourceID=18","")</f>
        <v/>
      </c>
      <c r="G257" s="4" t="str">
        <f>HYPERLINK("http://141.218.60.56/~jnz1568/getInfo.php?workbook=11_01.xlsx&amp;sheet=A0&amp;row=257&amp;col=7&amp;number==&amp;sourceID=11","=")</f>
        <v>=</v>
      </c>
      <c r="H257" s="4" t="str">
        <f>HYPERLINK("http://141.218.60.56/~jnz1568/getInfo.php?workbook=11_01.xlsx&amp;sheet=A0&amp;row=257&amp;col=8&amp;number=&amp;sourceID=11","")</f>
        <v/>
      </c>
      <c r="I257" s="4" t="str">
        <f>HYPERLINK("http://141.218.60.56/~jnz1568/getInfo.php?workbook=11_01.xlsx&amp;sheet=A0&amp;row=257&amp;col=9&amp;number=&amp;sourceID=11","")</f>
        <v/>
      </c>
      <c r="J257" s="4" t="str">
        <f>HYPERLINK("http://141.218.60.56/~jnz1568/getInfo.php?workbook=11_01.xlsx&amp;sheet=A0&amp;row=257&amp;col=10&amp;number=&amp;sourceID=11","")</f>
        <v/>
      </c>
      <c r="K257" s="4" t="str">
        <f>HYPERLINK("http://141.218.60.56/~jnz1568/getInfo.php?workbook=11_01.xlsx&amp;sheet=A0&amp;row=257&amp;col=11&amp;number=&amp;sourceID=11","")</f>
        <v/>
      </c>
      <c r="L257" s="4" t="str">
        <f>HYPERLINK("http://141.218.60.56/~jnz1568/getInfo.php?workbook=11_01.xlsx&amp;sheet=A0&amp;row=257&amp;col=12&amp;number=&amp;sourceID=11","")</f>
        <v/>
      </c>
      <c r="M257" s="4" t="str">
        <f>HYPERLINK("http://141.218.60.56/~jnz1568/getInfo.php?workbook=11_01.xlsx&amp;sheet=A0&amp;row=257&amp;col=13&amp;number=0.000633&amp;sourceID=11","0.000633")</f>
        <v>0.000633</v>
      </c>
      <c r="N257" s="4" t="str">
        <f>HYPERLINK("http://141.218.60.56/~jnz1568/getInfo.php?workbook=11_01.xlsx&amp;sheet=A0&amp;row=257&amp;col=14&amp;number=0.00063302&amp;sourceID=12","0.00063302")</f>
        <v>0.00063302</v>
      </c>
      <c r="O257" s="4" t="str">
        <f>HYPERLINK("http://141.218.60.56/~jnz1568/getInfo.php?workbook=11_01.xlsx&amp;sheet=A0&amp;row=257&amp;col=15&amp;number=&amp;sourceID=12","")</f>
        <v/>
      </c>
      <c r="P257" s="4" t="str">
        <f>HYPERLINK("http://141.218.60.56/~jnz1568/getInfo.php?workbook=11_01.xlsx&amp;sheet=A0&amp;row=257&amp;col=16&amp;number=&amp;sourceID=12","")</f>
        <v/>
      </c>
      <c r="Q257" s="4" t="str">
        <f>HYPERLINK("http://141.218.60.56/~jnz1568/getInfo.php?workbook=11_01.xlsx&amp;sheet=A0&amp;row=257&amp;col=17&amp;number=&amp;sourceID=12","")</f>
        <v/>
      </c>
      <c r="R257" s="4" t="str">
        <f>HYPERLINK("http://141.218.60.56/~jnz1568/getInfo.php?workbook=11_01.xlsx&amp;sheet=A0&amp;row=257&amp;col=18&amp;number=&amp;sourceID=12","")</f>
        <v/>
      </c>
      <c r="S257" s="4" t="str">
        <f>HYPERLINK("http://141.218.60.56/~jnz1568/getInfo.php?workbook=11_01.xlsx&amp;sheet=A0&amp;row=257&amp;col=19&amp;number=&amp;sourceID=12","")</f>
        <v/>
      </c>
      <c r="T257" s="4" t="str">
        <f>HYPERLINK("http://141.218.60.56/~jnz1568/getInfo.php?workbook=11_01.xlsx&amp;sheet=A0&amp;row=257&amp;col=20&amp;number=0.00063302&amp;sourceID=12","0.00063302")</f>
        <v>0.00063302</v>
      </c>
      <c r="U257" s="4" t="str">
        <f>HYPERLINK("http://141.218.60.56/~jnz1568/getInfo.php?workbook=11_01.xlsx&amp;sheet=A0&amp;row=257&amp;col=21&amp;number=&amp;sourceID=30","")</f>
        <v/>
      </c>
      <c r="V257" s="4" t="str">
        <f>HYPERLINK("http://141.218.60.56/~jnz1568/getInfo.php?workbook=11_01.xlsx&amp;sheet=A0&amp;row=257&amp;col=22&amp;number=&amp;sourceID=30","")</f>
        <v/>
      </c>
      <c r="W257" s="4" t="str">
        <f>HYPERLINK("http://141.218.60.56/~jnz1568/getInfo.php?workbook=11_01.xlsx&amp;sheet=A0&amp;row=257&amp;col=23&amp;number=&amp;sourceID=30","")</f>
        <v/>
      </c>
      <c r="X257" s="4" t="str">
        <f>HYPERLINK("http://141.218.60.56/~jnz1568/getInfo.php?workbook=11_01.xlsx&amp;sheet=A0&amp;row=257&amp;col=24&amp;number=&amp;sourceID=30","")</f>
        <v/>
      </c>
      <c r="Y257" s="4" t="str">
        <f>HYPERLINK("http://141.218.60.56/~jnz1568/getInfo.php?workbook=11_01.xlsx&amp;sheet=A0&amp;row=257&amp;col=25&amp;number=&amp;sourceID=30","")</f>
        <v/>
      </c>
      <c r="Z257" s="4" t="str">
        <f>HYPERLINK("http://141.218.60.56/~jnz1568/getInfo.php?workbook=11_01.xlsx&amp;sheet=A0&amp;row=257&amp;col=26&amp;number=&amp;sourceID=13","")</f>
        <v/>
      </c>
      <c r="AA257" s="4" t="str">
        <f>HYPERLINK("http://141.218.60.56/~jnz1568/getInfo.php?workbook=11_01.xlsx&amp;sheet=A0&amp;row=257&amp;col=27&amp;number=&amp;sourceID=13","")</f>
        <v/>
      </c>
      <c r="AB257" s="4" t="str">
        <f>HYPERLINK("http://141.218.60.56/~jnz1568/getInfo.php?workbook=11_01.xlsx&amp;sheet=A0&amp;row=257&amp;col=28&amp;number=&amp;sourceID=13","")</f>
        <v/>
      </c>
      <c r="AC257" s="4" t="str">
        <f>HYPERLINK("http://141.218.60.56/~jnz1568/getInfo.php?workbook=11_01.xlsx&amp;sheet=A0&amp;row=257&amp;col=29&amp;number=&amp;sourceID=13","")</f>
        <v/>
      </c>
      <c r="AD257" s="4" t="str">
        <f>HYPERLINK("http://141.218.60.56/~jnz1568/getInfo.php?workbook=11_01.xlsx&amp;sheet=A0&amp;row=257&amp;col=30&amp;number=&amp;sourceID=13","")</f>
        <v/>
      </c>
      <c r="AE257" s="4" t="str">
        <f>HYPERLINK("http://141.218.60.56/~jnz1568/getInfo.php?workbook=11_01.xlsx&amp;sheet=A0&amp;row=257&amp;col=31&amp;number=&amp;sourceID=13","")</f>
        <v/>
      </c>
    </row>
    <row r="258" spans="1:31">
      <c r="A258" s="3">
        <v>11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HYPERLINK("http://141.218.60.56/~jnz1568/getInfo.php?workbook=11_01.xlsx&amp;sheet=A0&amp;row=258&amp;col=6&amp;number=&amp;sourceID=18","")</f>
        <v/>
      </c>
      <c r="G258" s="4" t="str">
        <f>HYPERLINK("http://141.218.60.56/~jnz1568/getInfo.php?workbook=11_01.xlsx&amp;sheet=A0&amp;row=258&amp;col=7&amp;number==&amp;sourceID=11","=")</f>
        <v>=</v>
      </c>
      <c r="H258" s="4" t="str">
        <f>HYPERLINK("http://141.218.60.56/~jnz1568/getInfo.php?workbook=11_01.xlsx&amp;sheet=A0&amp;row=258&amp;col=8&amp;number=&amp;sourceID=11","")</f>
        <v/>
      </c>
      <c r="I258" s="4" t="str">
        <f>HYPERLINK("http://141.218.60.56/~jnz1568/getInfo.php?workbook=11_01.xlsx&amp;sheet=A0&amp;row=258&amp;col=9&amp;number=&amp;sourceID=11","")</f>
        <v/>
      </c>
      <c r="J258" s="4" t="str">
        <f>HYPERLINK("http://141.218.60.56/~jnz1568/getInfo.php?workbook=11_01.xlsx&amp;sheet=A0&amp;row=258&amp;col=10&amp;number=27.045&amp;sourceID=11","27.045")</f>
        <v>27.045</v>
      </c>
      <c r="K258" s="4" t="str">
        <f>HYPERLINK("http://141.218.60.56/~jnz1568/getInfo.php?workbook=11_01.xlsx&amp;sheet=A0&amp;row=258&amp;col=11&amp;number=&amp;sourceID=11","")</f>
        <v/>
      </c>
      <c r="L258" s="4" t="str">
        <f>HYPERLINK("http://141.218.60.56/~jnz1568/getInfo.php?workbook=11_01.xlsx&amp;sheet=A0&amp;row=258&amp;col=12&amp;number=&amp;sourceID=11","")</f>
        <v/>
      </c>
      <c r="M258" s="4" t="str">
        <f>HYPERLINK("http://141.218.60.56/~jnz1568/getInfo.php?workbook=11_01.xlsx&amp;sheet=A0&amp;row=258&amp;col=13&amp;number=&amp;sourceID=11","")</f>
        <v/>
      </c>
      <c r="N258" s="4" t="str">
        <f>HYPERLINK("http://141.218.60.56/~jnz1568/getInfo.php?workbook=11_01.xlsx&amp;sheet=A0&amp;row=258&amp;col=14&amp;number=27.046&amp;sourceID=12","27.046")</f>
        <v>27.046</v>
      </c>
      <c r="O258" s="4" t="str">
        <f>HYPERLINK("http://141.218.60.56/~jnz1568/getInfo.php?workbook=11_01.xlsx&amp;sheet=A0&amp;row=258&amp;col=15&amp;number=&amp;sourceID=12","")</f>
        <v/>
      </c>
      <c r="P258" s="4" t="str">
        <f>HYPERLINK("http://141.218.60.56/~jnz1568/getInfo.php?workbook=11_01.xlsx&amp;sheet=A0&amp;row=258&amp;col=16&amp;number=&amp;sourceID=12","")</f>
        <v/>
      </c>
      <c r="Q258" s="4" t="str">
        <f>HYPERLINK("http://141.218.60.56/~jnz1568/getInfo.php?workbook=11_01.xlsx&amp;sheet=A0&amp;row=258&amp;col=17&amp;number=27.046&amp;sourceID=12","27.046")</f>
        <v>27.046</v>
      </c>
      <c r="R258" s="4" t="str">
        <f>HYPERLINK("http://141.218.60.56/~jnz1568/getInfo.php?workbook=11_01.xlsx&amp;sheet=A0&amp;row=258&amp;col=18&amp;number=&amp;sourceID=12","")</f>
        <v/>
      </c>
      <c r="S258" s="4" t="str">
        <f>HYPERLINK("http://141.218.60.56/~jnz1568/getInfo.php?workbook=11_01.xlsx&amp;sheet=A0&amp;row=258&amp;col=19&amp;number=&amp;sourceID=12","")</f>
        <v/>
      </c>
      <c r="T258" s="4" t="str">
        <f>HYPERLINK("http://141.218.60.56/~jnz1568/getInfo.php?workbook=11_01.xlsx&amp;sheet=A0&amp;row=258&amp;col=20&amp;number=&amp;sourceID=12","")</f>
        <v/>
      </c>
      <c r="U258" s="4" t="str">
        <f>HYPERLINK("http://141.218.60.56/~jnz1568/getInfo.php?workbook=11_01.xlsx&amp;sheet=A0&amp;row=258&amp;col=21&amp;number=&amp;sourceID=30","")</f>
        <v/>
      </c>
      <c r="V258" s="4" t="str">
        <f>HYPERLINK("http://141.218.60.56/~jnz1568/getInfo.php?workbook=11_01.xlsx&amp;sheet=A0&amp;row=258&amp;col=22&amp;number=&amp;sourceID=30","")</f>
        <v/>
      </c>
      <c r="W258" s="4" t="str">
        <f>HYPERLINK("http://141.218.60.56/~jnz1568/getInfo.php?workbook=11_01.xlsx&amp;sheet=A0&amp;row=258&amp;col=23&amp;number=&amp;sourceID=30","")</f>
        <v/>
      </c>
      <c r="X258" s="4" t="str">
        <f>HYPERLINK("http://141.218.60.56/~jnz1568/getInfo.php?workbook=11_01.xlsx&amp;sheet=A0&amp;row=258&amp;col=24&amp;number=&amp;sourceID=30","")</f>
        <v/>
      </c>
      <c r="Y258" s="4" t="str">
        <f>HYPERLINK("http://141.218.60.56/~jnz1568/getInfo.php?workbook=11_01.xlsx&amp;sheet=A0&amp;row=258&amp;col=25&amp;number=&amp;sourceID=30","")</f>
        <v/>
      </c>
      <c r="Z258" s="4" t="str">
        <f>HYPERLINK("http://141.218.60.56/~jnz1568/getInfo.php?workbook=11_01.xlsx&amp;sheet=A0&amp;row=258&amp;col=26&amp;number=&amp;sourceID=13","")</f>
        <v/>
      </c>
      <c r="AA258" s="4" t="str">
        <f>HYPERLINK("http://141.218.60.56/~jnz1568/getInfo.php?workbook=11_01.xlsx&amp;sheet=A0&amp;row=258&amp;col=27&amp;number=&amp;sourceID=13","")</f>
        <v/>
      </c>
      <c r="AB258" s="4" t="str">
        <f>HYPERLINK("http://141.218.60.56/~jnz1568/getInfo.php?workbook=11_01.xlsx&amp;sheet=A0&amp;row=258&amp;col=28&amp;number=&amp;sourceID=13","")</f>
        <v/>
      </c>
      <c r="AC258" s="4" t="str">
        <f>HYPERLINK("http://141.218.60.56/~jnz1568/getInfo.php?workbook=11_01.xlsx&amp;sheet=A0&amp;row=258&amp;col=29&amp;number=&amp;sourceID=13","")</f>
        <v/>
      </c>
      <c r="AD258" s="4" t="str">
        <f>HYPERLINK("http://141.218.60.56/~jnz1568/getInfo.php?workbook=11_01.xlsx&amp;sheet=A0&amp;row=258&amp;col=30&amp;number=&amp;sourceID=13","")</f>
        <v/>
      </c>
      <c r="AE258" s="4" t="str">
        <f>HYPERLINK("http://141.218.60.56/~jnz1568/getInfo.php?workbook=11_01.xlsx&amp;sheet=A0&amp;row=258&amp;col=31&amp;number=&amp;sourceID=13","")</f>
        <v/>
      </c>
    </row>
    <row r="259" spans="1:31">
      <c r="A259" s="3">
        <v>11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HYPERLINK("http://141.218.60.56/~jnz1568/getInfo.php?workbook=11_01.xlsx&amp;sheet=A0&amp;row=259&amp;col=6&amp;number=&amp;sourceID=18","")</f>
        <v/>
      </c>
      <c r="G259" s="4" t="str">
        <f>HYPERLINK("http://141.218.60.56/~jnz1568/getInfo.php?workbook=11_01.xlsx&amp;sheet=A0&amp;row=259&amp;col=7&amp;number==&amp;sourceID=11","=")</f>
        <v>=</v>
      </c>
      <c r="H259" s="4" t="str">
        <f>HYPERLINK("http://141.218.60.56/~jnz1568/getInfo.php?workbook=11_01.xlsx&amp;sheet=A0&amp;row=259&amp;col=8&amp;number=&amp;sourceID=11","")</f>
        <v/>
      </c>
      <c r="I259" s="4" t="str">
        <f>HYPERLINK("http://141.218.60.56/~jnz1568/getInfo.php?workbook=11_01.xlsx&amp;sheet=A0&amp;row=259&amp;col=9&amp;number=&amp;sourceID=11","")</f>
        <v/>
      </c>
      <c r="J259" s="4" t="str">
        <f>HYPERLINK("http://141.218.60.56/~jnz1568/getInfo.php?workbook=11_01.xlsx&amp;sheet=A0&amp;row=259&amp;col=10&amp;number=4.287&amp;sourceID=11","4.287")</f>
        <v>4.287</v>
      </c>
      <c r="K259" s="4" t="str">
        <f>HYPERLINK("http://141.218.60.56/~jnz1568/getInfo.php?workbook=11_01.xlsx&amp;sheet=A0&amp;row=259&amp;col=11&amp;number=&amp;sourceID=11","")</f>
        <v/>
      </c>
      <c r="L259" s="4" t="str">
        <f>HYPERLINK("http://141.218.60.56/~jnz1568/getInfo.php?workbook=11_01.xlsx&amp;sheet=A0&amp;row=259&amp;col=12&amp;number=10.634&amp;sourceID=11","10.634")</f>
        <v>10.634</v>
      </c>
      <c r="M259" s="4" t="str">
        <f>HYPERLINK("http://141.218.60.56/~jnz1568/getInfo.php?workbook=11_01.xlsx&amp;sheet=A0&amp;row=259&amp;col=13&amp;number=&amp;sourceID=11","")</f>
        <v/>
      </c>
      <c r="N259" s="4" t="str">
        <f>HYPERLINK("http://141.218.60.56/~jnz1568/getInfo.php?workbook=11_01.xlsx&amp;sheet=A0&amp;row=259&amp;col=14&amp;number=14.921&amp;sourceID=12","14.921")</f>
        <v>14.921</v>
      </c>
      <c r="O259" s="4" t="str">
        <f>HYPERLINK("http://141.218.60.56/~jnz1568/getInfo.php?workbook=11_01.xlsx&amp;sheet=A0&amp;row=259&amp;col=15&amp;number=&amp;sourceID=12","")</f>
        <v/>
      </c>
      <c r="P259" s="4" t="str">
        <f>HYPERLINK("http://141.218.60.56/~jnz1568/getInfo.php?workbook=11_01.xlsx&amp;sheet=A0&amp;row=259&amp;col=16&amp;number=&amp;sourceID=12","")</f>
        <v/>
      </c>
      <c r="Q259" s="4" t="str">
        <f>HYPERLINK("http://141.218.60.56/~jnz1568/getInfo.php?workbook=11_01.xlsx&amp;sheet=A0&amp;row=259&amp;col=17&amp;number=4.2872&amp;sourceID=12","4.2872")</f>
        <v>4.2872</v>
      </c>
      <c r="R259" s="4" t="str">
        <f>HYPERLINK("http://141.218.60.56/~jnz1568/getInfo.php?workbook=11_01.xlsx&amp;sheet=A0&amp;row=259&amp;col=18&amp;number=&amp;sourceID=12","")</f>
        <v/>
      </c>
      <c r="S259" s="4" t="str">
        <f>HYPERLINK("http://141.218.60.56/~jnz1568/getInfo.php?workbook=11_01.xlsx&amp;sheet=A0&amp;row=259&amp;col=19&amp;number=10.634&amp;sourceID=12","10.634")</f>
        <v>10.634</v>
      </c>
      <c r="T259" s="4" t="str">
        <f>HYPERLINK("http://141.218.60.56/~jnz1568/getInfo.php?workbook=11_01.xlsx&amp;sheet=A0&amp;row=259&amp;col=20&amp;number=&amp;sourceID=12","")</f>
        <v/>
      </c>
      <c r="U259" s="4" t="str">
        <f>HYPERLINK("http://141.218.60.56/~jnz1568/getInfo.php?workbook=11_01.xlsx&amp;sheet=A0&amp;row=259&amp;col=21&amp;number=10.63&amp;sourceID=30","10.63")</f>
        <v>10.63</v>
      </c>
      <c r="V259" s="4" t="str">
        <f>HYPERLINK("http://141.218.60.56/~jnz1568/getInfo.php?workbook=11_01.xlsx&amp;sheet=A0&amp;row=259&amp;col=22&amp;number=&amp;sourceID=30","")</f>
        <v/>
      </c>
      <c r="W259" s="4" t="str">
        <f>HYPERLINK("http://141.218.60.56/~jnz1568/getInfo.php?workbook=11_01.xlsx&amp;sheet=A0&amp;row=259&amp;col=23&amp;number=&amp;sourceID=30","")</f>
        <v/>
      </c>
      <c r="X259" s="4" t="str">
        <f>HYPERLINK("http://141.218.60.56/~jnz1568/getInfo.php?workbook=11_01.xlsx&amp;sheet=A0&amp;row=259&amp;col=24&amp;number=&amp;sourceID=30","")</f>
        <v/>
      </c>
      <c r="Y259" s="4" t="str">
        <f>HYPERLINK("http://141.218.60.56/~jnz1568/getInfo.php?workbook=11_01.xlsx&amp;sheet=A0&amp;row=259&amp;col=25&amp;number=10.63&amp;sourceID=30","10.63")</f>
        <v>10.63</v>
      </c>
      <c r="Z259" s="4" t="str">
        <f>HYPERLINK("http://141.218.60.56/~jnz1568/getInfo.php?workbook=11_01.xlsx&amp;sheet=A0&amp;row=259&amp;col=26&amp;number=&amp;sourceID=13","")</f>
        <v/>
      </c>
      <c r="AA259" s="4" t="str">
        <f>HYPERLINK("http://141.218.60.56/~jnz1568/getInfo.php?workbook=11_01.xlsx&amp;sheet=A0&amp;row=259&amp;col=27&amp;number=&amp;sourceID=13","")</f>
        <v/>
      </c>
      <c r="AB259" s="4" t="str">
        <f>HYPERLINK("http://141.218.60.56/~jnz1568/getInfo.php?workbook=11_01.xlsx&amp;sheet=A0&amp;row=259&amp;col=28&amp;number=&amp;sourceID=13","")</f>
        <v/>
      </c>
      <c r="AC259" s="4" t="str">
        <f>HYPERLINK("http://141.218.60.56/~jnz1568/getInfo.php?workbook=11_01.xlsx&amp;sheet=A0&amp;row=259&amp;col=29&amp;number=&amp;sourceID=13","")</f>
        <v/>
      </c>
      <c r="AD259" s="4" t="str">
        <f>HYPERLINK("http://141.218.60.56/~jnz1568/getInfo.php?workbook=11_01.xlsx&amp;sheet=A0&amp;row=259&amp;col=30&amp;number=&amp;sourceID=13","")</f>
        <v/>
      </c>
      <c r="AE259" s="4" t="str">
        <f>HYPERLINK("http://141.218.60.56/~jnz1568/getInfo.php?workbook=11_01.xlsx&amp;sheet=A0&amp;row=259&amp;col=31&amp;number=&amp;sourceID=13","")</f>
        <v/>
      </c>
    </row>
    <row r="260" spans="1:31">
      <c r="A260" s="3">
        <v>11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HYPERLINK("http://141.218.60.56/~jnz1568/getInfo.php?workbook=11_01.xlsx&amp;sheet=A0&amp;row=260&amp;col=6&amp;number=&amp;sourceID=18","")</f>
        <v/>
      </c>
      <c r="G260" s="4" t="str">
        <f>HYPERLINK("http://141.218.60.56/~jnz1568/getInfo.php?workbook=11_01.xlsx&amp;sheet=A0&amp;row=260&amp;col=7&amp;number==&amp;sourceID=11","=")</f>
        <v>=</v>
      </c>
      <c r="H260" s="4" t="str">
        <f>HYPERLINK("http://141.218.60.56/~jnz1568/getInfo.php?workbook=11_01.xlsx&amp;sheet=A0&amp;row=260&amp;col=8&amp;number=&amp;sourceID=11","")</f>
        <v/>
      </c>
      <c r="I260" s="4" t="str">
        <f>HYPERLINK("http://141.218.60.56/~jnz1568/getInfo.php?workbook=11_01.xlsx&amp;sheet=A0&amp;row=260&amp;col=9&amp;number=1664900&amp;sourceID=11","1664900")</f>
        <v>1664900</v>
      </c>
      <c r="J260" s="4" t="str">
        <f>HYPERLINK("http://141.218.60.56/~jnz1568/getInfo.php?workbook=11_01.xlsx&amp;sheet=A0&amp;row=260&amp;col=10&amp;number=&amp;sourceID=11","")</f>
        <v/>
      </c>
      <c r="K260" s="4" t="str">
        <f>HYPERLINK("http://141.218.60.56/~jnz1568/getInfo.php?workbook=11_01.xlsx&amp;sheet=A0&amp;row=260&amp;col=11&amp;number=&amp;sourceID=11","")</f>
        <v/>
      </c>
      <c r="L260" s="4" t="str">
        <f>HYPERLINK("http://141.218.60.56/~jnz1568/getInfo.php?workbook=11_01.xlsx&amp;sheet=A0&amp;row=260&amp;col=12&amp;number=&amp;sourceID=11","")</f>
        <v/>
      </c>
      <c r="M260" s="4" t="str">
        <f>HYPERLINK("http://141.218.60.56/~jnz1568/getInfo.php?workbook=11_01.xlsx&amp;sheet=A0&amp;row=260&amp;col=13&amp;number=0.0018789&amp;sourceID=11","0.0018789")</f>
        <v>0.0018789</v>
      </c>
      <c r="N260" s="4" t="str">
        <f>HYPERLINK("http://141.218.60.56/~jnz1568/getInfo.php?workbook=11_01.xlsx&amp;sheet=A0&amp;row=260&amp;col=14&amp;number=1664900&amp;sourceID=12","1664900")</f>
        <v>1664900</v>
      </c>
      <c r="O260" s="4" t="str">
        <f>HYPERLINK("http://141.218.60.56/~jnz1568/getInfo.php?workbook=11_01.xlsx&amp;sheet=A0&amp;row=260&amp;col=15&amp;number=&amp;sourceID=12","")</f>
        <v/>
      </c>
      <c r="P260" s="4" t="str">
        <f>HYPERLINK("http://141.218.60.56/~jnz1568/getInfo.php?workbook=11_01.xlsx&amp;sheet=A0&amp;row=260&amp;col=16&amp;number=1664900&amp;sourceID=12","1664900")</f>
        <v>1664900</v>
      </c>
      <c r="Q260" s="4" t="str">
        <f>HYPERLINK("http://141.218.60.56/~jnz1568/getInfo.php?workbook=11_01.xlsx&amp;sheet=A0&amp;row=260&amp;col=17&amp;number=&amp;sourceID=12","")</f>
        <v/>
      </c>
      <c r="R260" s="4" t="str">
        <f>HYPERLINK("http://141.218.60.56/~jnz1568/getInfo.php?workbook=11_01.xlsx&amp;sheet=A0&amp;row=260&amp;col=18&amp;number=&amp;sourceID=12","")</f>
        <v/>
      </c>
      <c r="S260" s="4" t="str">
        <f>HYPERLINK("http://141.218.60.56/~jnz1568/getInfo.php?workbook=11_01.xlsx&amp;sheet=A0&amp;row=260&amp;col=19&amp;number=&amp;sourceID=12","")</f>
        <v/>
      </c>
      <c r="T260" s="4" t="str">
        <f>HYPERLINK("http://141.218.60.56/~jnz1568/getInfo.php?workbook=11_01.xlsx&amp;sheet=A0&amp;row=260&amp;col=20&amp;number=0.001879&amp;sourceID=12","0.001879")</f>
        <v>0.001879</v>
      </c>
      <c r="U260" s="4" t="str">
        <f>HYPERLINK("http://141.218.60.56/~jnz1568/getInfo.php?workbook=11_01.xlsx&amp;sheet=A0&amp;row=260&amp;col=21&amp;number=1665000&amp;sourceID=30","1665000")</f>
        <v>1665000</v>
      </c>
      <c r="V260" s="4" t="str">
        <f>HYPERLINK("http://141.218.60.56/~jnz1568/getInfo.php?workbook=11_01.xlsx&amp;sheet=A0&amp;row=260&amp;col=22&amp;number=&amp;sourceID=30","")</f>
        <v/>
      </c>
      <c r="W260" s="4" t="str">
        <f>HYPERLINK("http://141.218.60.56/~jnz1568/getInfo.php?workbook=11_01.xlsx&amp;sheet=A0&amp;row=260&amp;col=23&amp;number=1665000&amp;sourceID=30","1665000")</f>
        <v>1665000</v>
      </c>
      <c r="X260" s="4" t="str">
        <f>HYPERLINK("http://141.218.60.56/~jnz1568/getInfo.php?workbook=11_01.xlsx&amp;sheet=A0&amp;row=260&amp;col=24&amp;number=&amp;sourceID=30","")</f>
        <v/>
      </c>
      <c r="Y260" s="4" t="str">
        <f>HYPERLINK("http://141.218.60.56/~jnz1568/getInfo.php?workbook=11_01.xlsx&amp;sheet=A0&amp;row=260&amp;col=25&amp;number=&amp;sourceID=30","")</f>
        <v/>
      </c>
      <c r="Z260" s="4" t="str">
        <f>HYPERLINK("http://141.218.60.56/~jnz1568/getInfo.php?workbook=11_01.xlsx&amp;sheet=A0&amp;row=260&amp;col=26&amp;number=&amp;sourceID=13","")</f>
        <v/>
      </c>
      <c r="AA260" s="4" t="str">
        <f>HYPERLINK("http://141.218.60.56/~jnz1568/getInfo.php?workbook=11_01.xlsx&amp;sheet=A0&amp;row=260&amp;col=27&amp;number=&amp;sourceID=13","")</f>
        <v/>
      </c>
      <c r="AB260" s="4" t="str">
        <f>HYPERLINK("http://141.218.60.56/~jnz1568/getInfo.php?workbook=11_01.xlsx&amp;sheet=A0&amp;row=260&amp;col=28&amp;number=&amp;sourceID=13","")</f>
        <v/>
      </c>
      <c r="AC260" s="4" t="str">
        <f>HYPERLINK("http://141.218.60.56/~jnz1568/getInfo.php?workbook=11_01.xlsx&amp;sheet=A0&amp;row=260&amp;col=29&amp;number=&amp;sourceID=13","")</f>
        <v/>
      </c>
      <c r="AD260" s="4" t="str">
        <f>HYPERLINK("http://141.218.60.56/~jnz1568/getInfo.php?workbook=11_01.xlsx&amp;sheet=A0&amp;row=260&amp;col=30&amp;number=&amp;sourceID=13","")</f>
        <v/>
      </c>
      <c r="AE260" s="4" t="str">
        <f>HYPERLINK("http://141.218.60.56/~jnz1568/getInfo.php?workbook=11_01.xlsx&amp;sheet=A0&amp;row=260&amp;col=31&amp;number=&amp;sourceID=13","")</f>
        <v/>
      </c>
    </row>
    <row r="261" spans="1:31">
      <c r="A261" s="3">
        <v>11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HYPERLINK("http://141.218.60.56/~jnz1568/getInfo.php?workbook=11_01.xlsx&amp;sheet=A0&amp;row=261&amp;col=6&amp;number=&amp;sourceID=18","")</f>
        <v/>
      </c>
      <c r="G261" s="4" t="str">
        <f>HYPERLINK("http://141.218.60.56/~jnz1568/getInfo.php?workbook=11_01.xlsx&amp;sheet=A0&amp;row=261&amp;col=7&amp;number==&amp;sourceID=11","=")</f>
        <v>=</v>
      </c>
      <c r="H261" s="4" t="str">
        <f>HYPERLINK("http://141.218.60.56/~jnz1568/getInfo.php?workbook=11_01.xlsx&amp;sheet=A0&amp;row=261&amp;col=8&amp;number=&amp;sourceID=11","")</f>
        <v/>
      </c>
      <c r="I261" s="4" t="str">
        <f>HYPERLINK("http://141.218.60.56/~jnz1568/getInfo.php?workbook=11_01.xlsx&amp;sheet=A0&amp;row=261&amp;col=9&amp;number=29045&amp;sourceID=11","29045")</f>
        <v>29045</v>
      </c>
      <c r="J261" s="4" t="str">
        <f>HYPERLINK("http://141.218.60.56/~jnz1568/getInfo.php?workbook=11_01.xlsx&amp;sheet=A0&amp;row=261&amp;col=10&amp;number=&amp;sourceID=11","")</f>
        <v/>
      </c>
      <c r="K261" s="4" t="str">
        <f>HYPERLINK("http://141.218.60.56/~jnz1568/getInfo.php?workbook=11_01.xlsx&amp;sheet=A0&amp;row=261&amp;col=11&amp;number=0.0078012&amp;sourceID=11","0.0078012")</f>
        <v>0.0078012</v>
      </c>
      <c r="L261" s="4" t="str">
        <f>HYPERLINK("http://141.218.60.56/~jnz1568/getInfo.php?workbook=11_01.xlsx&amp;sheet=A0&amp;row=261&amp;col=12&amp;number=&amp;sourceID=11","")</f>
        <v/>
      </c>
      <c r="M261" s="4" t="str">
        <f>HYPERLINK("http://141.218.60.56/~jnz1568/getInfo.php?workbook=11_01.xlsx&amp;sheet=A0&amp;row=261&amp;col=13&amp;number=4.8492e-06&amp;sourceID=11","4.8492e-06")</f>
        <v>4.8492e-06</v>
      </c>
      <c r="N261" s="4" t="str">
        <f>HYPERLINK("http://141.218.60.56/~jnz1568/getInfo.php?workbook=11_01.xlsx&amp;sheet=A0&amp;row=261&amp;col=14&amp;number=29046&amp;sourceID=12","29046")</f>
        <v>29046</v>
      </c>
      <c r="O261" s="4" t="str">
        <f>HYPERLINK("http://141.218.60.56/~jnz1568/getInfo.php?workbook=11_01.xlsx&amp;sheet=A0&amp;row=261&amp;col=15&amp;number=&amp;sourceID=12","")</f>
        <v/>
      </c>
      <c r="P261" s="4" t="str">
        <f>HYPERLINK("http://141.218.60.56/~jnz1568/getInfo.php?workbook=11_01.xlsx&amp;sheet=A0&amp;row=261&amp;col=16&amp;number=29046&amp;sourceID=12","29046")</f>
        <v>29046</v>
      </c>
      <c r="Q261" s="4" t="str">
        <f>HYPERLINK("http://141.218.60.56/~jnz1568/getInfo.php?workbook=11_01.xlsx&amp;sheet=A0&amp;row=261&amp;col=17&amp;number=&amp;sourceID=12","")</f>
        <v/>
      </c>
      <c r="R261" s="4" t="str">
        <f>HYPERLINK("http://141.218.60.56/~jnz1568/getInfo.php?workbook=11_01.xlsx&amp;sheet=A0&amp;row=261&amp;col=18&amp;number=0.0078016&amp;sourceID=12","0.0078016")</f>
        <v>0.0078016</v>
      </c>
      <c r="S261" s="4" t="str">
        <f>HYPERLINK("http://141.218.60.56/~jnz1568/getInfo.php?workbook=11_01.xlsx&amp;sheet=A0&amp;row=261&amp;col=19&amp;number=&amp;sourceID=12","")</f>
        <v/>
      </c>
      <c r="T261" s="4" t="str">
        <f>HYPERLINK("http://141.218.60.56/~jnz1568/getInfo.php?workbook=11_01.xlsx&amp;sheet=A0&amp;row=261&amp;col=20&amp;number=4.8494e-06&amp;sourceID=12","4.8494e-06")</f>
        <v>4.8494e-06</v>
      </c>
      <c r="U261" s="4" t="str">
        <f>HYPERLINK("http://141.218.60.56/~jnz1568/getInfo.php?workbook=11_01.xlsx&amp;sheet=A0&amp;row=261&amp;col=21&amp;number=29050.007804&amp;sourceID=30","29050.007804")</f>
        <v>29050.007804</v>
      </c>
      <c r="V261" s="4" t="str">
        <f>HYPERLINK("http://141.218.60.56/~jnz1568/getInfo.php?workbook=11_01.xlsx&amp;sheet=A0&amp;row=261&amp;col=22&amp;number=&amp;sourceID=30","")</f>
        <v/>
      </c>
      <c r="W261" s="4" t="str">
        <f>HYPERLINK("http://141.218.60.56/~jnz1568/getInfo.php?workbook=11_01.xlsx&amp;sheet=A0&amp;row=261&amp;col=23&amp;number=29050&amp;sourceID=30","29050")</f>
        <v>29050</v>
      </c>
      <c r="X261" s="4" t="str">
        <f>HYPERLINK("http://141.218.60.56/~jnz1568/getInfo.php?workbook=11_01.xlsx&amp;sheet=A0&amp;row=261&amp;col=24&amp;number=0.007804&amp;sourceID=30","0.007804")</f>
        <v>0.007804</v>
      </c>
      <c r="Y261" s="4" t="str">
        <f>HYPERLINK("http://141.218.60.56/~jnz1568/getInfo.php?workbook=11_01.xlsx&amp;sheet=A0&amp;row=261&amp;col=25&amp;number=&amp;sourceID=30","")</f>
        <v/>
      </c>
      <c r="Z261" s="4" t="str">
        <f>HYPERLINK("http://141.218.60.56/~jnz1568/getInfo.php?workbook=11_01.xlsx&amp;sheet=A0&amp;row=261&amp;col=26&amp;number=&amp;sourceID=13","")</f>
        <v/>
      </c>
      <c r="AA261" s="4" t="str">
        <f>HYPERLINK("http://141.218.60.56/~jnz1568/getInfo.php?workbook=11_01.xlsx&amp;sheet=A0&amp;row=261&amp;col=27&amp;number=&amp;sourceID=13","")</f>
        <v/>
      </c>
      <c r="AB261" s="4" t="str">
        <f>HYPERLINK("http://141.218.60.56/~jnz1568/getInfo.php?workbook=11_01.xlsx&amp;sheet=A0&amp;row=261&amp;col=28&amp;number=&amp;sourceID=13","")</f>
        <v/>
      </c>
      <c r="AC261" s="4" t="str">
        <f>HYPERLINK("http://141.218.60.56/~jnz1568/getInfo.php?workbook=11_01.xlsx&amp;sheet=A0&amp;row=261&amp;col=29&amp;number=&amp;sourceID=13","")</f>
        <v/>
      </c>
      <c r="AD261" s="4" t="str">
        <f>HYPERLINK("http://141.218.60.56/~jnz1568/getInfo.php?workbook=11_01.xlsx&amp;sheet=A0&amp;row=261&amp;col=30&amp;number=&amp;sourceID=13","")</f>
        <v/>
      </c>
      <c r="AE261" s="4" t="str">
        <f>HYPERLINK("http://141.218.60.56/~jnz1568/getInfo.php?workbook=11_01.xlsx&amp;sheet=A0&amp;row=261&amp;col=31&amp;number=&amp;sourceID=13","")</f>
        <v/>
      </c>
    </row>
    <row r="262" spans="1:31">
      <c r="A262" s="3">
        <v>11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HYPERLINK("http://141.218.60.56/~jnz1568/getInfo.php?workbook=11_01.xlsx&amp;sheet=A0&amp;row=262&amp;col=6&amp;number=&amp;sourceID=18","")</f>
        <v/>
      </c>
      <c r="G262" s="4" t="str">
        <f>HYPERLINK("http://141.218.60.56/~jnz1568/getInfo.php?workbook=11_01.xlsx&amp;sheet=A0&amp;row=262&amp;col=7&amp;number==SUM(H262:M262)&amp;sourceID=11","=SUM(H262:M262)")</f>
        <v>=SUM(H262:M262)</v>
      </c>
      <c r="H262" s="4" t="str">
        <f>HYPERLINK("http://141.218.60.56/~jnz1568/getInfo.php?workbook=11_01.xlsx&amp;sheet=A0&amp;row=262&amp;col=8&amp;number=37858000000&amp;sourceID=11","37858000000")</f>
        <v>37858000000</v>
      </c>
      <c r="I262" s="4" t="str">
        <f>HYPERLINK("http://141.218.60.56/~jnz1568/getInfo.php?workbook=11_01.xlsx&amp;sheet=A0&amp;row=262&amp;col=9&amp;number=&amp;sourceID=11","")</f>
        <v/>
      </c>
      <c r="J262" s="4" t="str">
        <f>HYPERLINK("http://141.218.60.56/~jnz1568/getInfo.php?workbook=11_01.xlsx&amp;sheet=A0&amp;row=262&amp;col=10&amp;number=12.822&amp;sourceID=11","12.822")</f>
        <v>12.822</v>
      </c>
      <c r="K262" s="4" t="str">
        <f>HYPERLINK("http://141.218.60.56/~jnz1568/getInfo.php?workbook=11_01.xlsx&amp;sheet=A0&amp;row=262&amp;col=11&amp;number=&amp;sourceID=11","")</f>
        <v/>
      </c>
      <c r="L262" s="4" t="str">
        <f>HYPERLINK("http://141.218.60.56/~jnz1568/getInfo.php?workbook=11_01.xlsx&amp;sheet=A0&amp;row=262&amp;col=12&amp;number=73.163&amp;sourceID=11","73.163")</f>
        <v>73.163</v>
      </c>
      <c r="M262" s="4" t="str">
        <f>HYPERLINK("http://141.218.60.56/~jnz1568/getInfo.php?workbook=11_01.xlsx&amp;sheet=A0&amp;row=262&amp;col=13&amp;number=&amp;sourceID=11","")</f>
        <v/>
      </c>
      <c r="N262" s="4" t="str">
        <f>HYPERLINK("http://141.218.60.56/~jnz1568/getInfo.php?workbook=11_01.xlsx&amp;sheet=A0&amp;row=262&amp;col=14&amp;number=37859000000&amp;sourceID=12","37859000000")</f>
        <v>37859000000</v>
      </c>
      <c r="O262" s="4" t="str">
        <f>HYPERLINK("http://141.218.60.56/~jnz1568/getInfo.php?workbook=11_01.xlsx&amp;sheet=A0&amp;row=262&amp;col=15&amp;number=37859000000&amp;sourceID=12","37859000000")</f>
        <v>37859000000</v>
      </c>
      <c r="P262" s="4" t="str">
        <f>HYPERLINK("http://141.218.60.56/~jnz1568/getInfo.php?workbook=11_01.xlsx&amp;sheet=A0&amp;row=262&amp;col=16&amp;number=&amp;sourceID=12","")</f>
        <v/>
      </c>
      <c r="Q262" s="4" t="str">
        <f>HYPERLINK("http://141.218.60.56/~jnz1568/getInfo.php?workbook=11_01.xlsx&amp;sheet=A0&amp;row=262&amp;col=17&amp;number=12.823&amp;sourceID=12","12.823")</f>
        <v>12.823</v>
      </c>
      <c r="R262" s="4" t="str">
        <f>HYPERLINK("http://141.218.60.56/~jnz1568/getInfo.php?workbook=11_01.xlsx&amp;sheet=A0&amp;row=262&amp;col=18&amp;number=&amp;sourceID=12","")</f>
        <v/>
      </c>
      <c r="S262" s="4" t="str">
        <f>HYPERLINK("http://141.218.60.56/~jnz1568/getInfo.php?workbook=11_01.xlsx&amp;sheet=A0&amp;row=262&amp;col=19&amp;number=73.164&amp;sourceID=12","73.164")</f>
        <v>73.164</v>
      </c>
      <c r="T262" s="4" t="str">
        <f>HYPERLINK("http://141.218.60.56/~jnz1568/getInfo.php?workbook=11_01.xlsx&amp;sheet=A0&amp;row=262&amp;col=20&amp;number=&amp;sourceID=12","")</f>
        <v/>
      </c>
      <c r="U262" s="4" t="str">
        <f>HYPERLINK("http://141.218.60.56/~jnz1568/getInfo.php?workbook=11_01.xlsx&amp;sheet=A0&amp;row=262&amp;col=21&amp;number=37860000073.2&amp;sourceID=30","37860000073.2")</f>
        <v>37860000073.2</v>
      </c>
      <c r="V262" s="4" t="str">
        <f>HYPERLINK("http://141.218.60.56/~jnz1568/getInfo.php?workbook=11_01.xlsx&amp;sheet=A0&amp;row=262&amp;col=22&amp;number=37860000000&amp;sourceID=30","37860000000")</f>
        <v>37860000000</v>
      </c>
      <c r="W262" s="4" t="str">
        <f>HYPERLINK("http://141.218.60.56/~jnz1568/getInfo.php?workbook=11_01.xlsx&amp;sheet=A0&amp;row=262&amp;col=23&amp;number=&amp;sourceID=30","")</f>
        <v/>
      </c>
      <c r="X262" s="4" t="str">
        <f>HYPERLINK("http://141.218.60.56/~jnz1568/getInfo.php?workbook=11_01.xlsx&amp;sheet=A0&amp;row=262&amp;col=24&amp;number=&amp;sourceID=30","")</f>
        <v/>
      </c>
      <c r="Y262" s="4" t="str">
        <f>HYPERLINK("http://141.218.60.56/~jnz1568/getInfo.php?workbook=11_01.xlsx&amp;sheet=A0&amp;row=262&amp;col=25&amp;number=73.16&amp;sourceID=30","73.16")</f>
        <v>73.16</v>
      </c>
      <c r="Z262" s="4" t="str">
        <f>HYPERLINK("http://141.218.60.56/~jnz1568/getInfo.php?workbook=11_01.xlsx&amp;sheet=A0&amp;row=262&amp;col=26&amp;number=&amp;sourceID=13","")</f>
        <v/>
      </c>
      <c r="AA262" s="4" t="str">
        <f>HYPERLINK("http://141.218.60.56/~jnz1568/getInfo.php?workbook=11_01.xlsx&amp;sheet=A0&amp;row=262&amp;col=27&amp;number=&amp;sourceID=13","")</f>
        <v/>
      </c>
      <c r="AB262" s="4" t="str">
        <f>HYPERLINK("http://141.218.60.56/~jnz1568/getInfo.php?workbook=11_01.xlsx&amp;sheet=A0&amp;row=262&amp;col=28&amp;number=&amp;sourceID=13","")</f>
        <v/>
      </c>
      <c r="AC262" s="4" t="str">
        <f>HYPERLINK("http://141.218.60.56/~jnz1568/getInfo.php?workbook=11_01.xlsx&amp;sheet=A0&amp;row=262&amp;col=29&amp;number=&amp;sourceID=13","")</f>
        <v/>
      </c>
      <c r="AD262" s="4" t="str">
        <f>HYPERLINK("http://141.218.60.56/~jnz1568/getInfo.php?workbook=11_01.xlsx&amp;sheet=A0&amp;row=262&amp;col=30&amp;number=&amp;sourceID=13","")</f>
        <v/>
      </c>
      <c r="AE262" s="4" t="str">
        <f>HYPERLINK("http://141.218.60.56/~jnz1568/getInfo.php?workbook=11_01.xlsx&amp;sheet=A0&amp;row=262&amp;col=31&amp;number=&amp;sourceID=13","")</f>
        <v/>
      </c>
    </row>
    <row r="263" spans="1:31">
      <c r="A263" s="3">
        <v>11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HYPERLINK("http://141.218.60.56/~jnz1568/getInfo.php?workbook=11_01.xlsx&amp;sheet=A0&amp;row=263&amp;col=6&amp;number=&amp;sourceID=18","")</f>
        <v/>
      </c>
      <c r="G263" s="4" t="str">
        <f>HYPERLINK("http://141.218.60.56/~jnz1568/getInfo.php?workbook=11_01.xlsx&amp;sheet=A0&amp;row=263&amp;col=7&amp;number==&amp;sourceID=11","=")</f>
        <v>=</v>
      </c>
      <c r="H263" s="4" t="str">
        <f>HYPERLINK("http://141.218.60.56/~jnz1568/getInfo.php?workbook=11_01.xlsx&amp;sheet=A0&amp;row=263&amp;col=8&amp;number=&amp;sourceID=11","")</f>
        <v/>
      </c>
      <c r="I263" s="4" t="str">
        <f>HYPERLINK("http://141.218.60.56/~jnz1568/getInfo.php?workbook=11_01.xlsx&amp;sheet=A0&amp;row=263&amp;col=9&amp;number=241930&amp;sourceID=11","241930")</f>
        <v>241930</v>
      </c>
      <c r="J263" s="4" t="str">
        <f>HYPERLINK("http://141.218.60.56/~jnz1568/getInfo.php?workbook=11_01.xlsx&amp;sheet=A0&amp;row=263&amp;col=10&amp;number=&amp;sourceID=11","")</f>
        <v/>
      </c>
      <c r="K263" s="4" t="str">
        <f>HYPERLINK("http://141.218.60.56/~jnz1568/getInfo.php?workbook=11_01.xlsx&amp;sheet=A0&amp;row=263&amp;col=11&amp;number=0.078413&amp;sourceID=11","0.078413")</f>
        <v>0.078413</v>
      </c>
      <c r="L263" s="4" t="str">
        <f>HYPERLINK("http://141.218.60.56/~jnz1568/getInfo.php?workbook=11_01.xlsx&amp;sheet=A0&amp;row=263&amp;col=12&amp;number=&amp;sourceID=11","")</f>
        <v/>
      </c>
      <c r="M263" s="4" t="str">
        <f>HYPERLINK("http://141.218.60.56/~jnz1568/getInfo.php?workbook=11_01.xlsx&amp;sheet=A0&amp;row=263&amp;col=13&amp;number=0.00063933&amp;sourceID=11","0.00063933")</f>
        <v>0.00063933</v>
      </c>
      <c r="N263" s="4" t="str">
        <f>HYPERLINK("http://141.218.60.56/~jnz1568/getInfo.php?workbook=11_01.xlsx&amp;sheet=A0&amp;row=263&amp;col=14&amp;number=241940&amp;sourceID=12","241940")</f>
        <v>241940</v>
      </c>
      <c r="O263" s="4" t="str">
        <f>HYPERLINK("http://141.218.60.56/~jnz1568/getInfo.php?workbook=11_01.xlsx&amp;sheet=A0&amp;row=263&amp;col=15&amp;number=&amp;sourceID=12","")</f>
        <v/>
      </c>
      <c r="P263" s="4" t="str">
        <f>HYPERLINK("http://141.218.60.56/~jnz1568/getInfo.php?workbook=11_01.xlsx&amp;sheet=A0&amp;row=263&amp;col=16&amp;number=241940&amp;sourceID=12","241940")</f>
        <v>241940</v>
      </c>
      <c r="Q263" s="4" t="str">
        <f>HYPERLINK("http://141.218.60.56/~jnz1568/getInfo.php?workbook=11_01.xlsx&amp;sheet=A0&amp;row=263&amp;col=17&amp;number=&amp;sourceID=12","")</f>
        <v/>
      </c>
      <c r="R263" s="4" t="str">
        <f>HYPERLINK("http://141.218.60.56/~jnz1568/getInfo.php?workbook=11_01.xlsx&amp;sheet=A0&amp;row=263&amp;col=18&amp;number=0.078415&amp;sourceID=12","0.078415")</f>
        <v>0.078415</v>
      </c>
      <c r="S263" s="4" t="str">
        <f>HYPERLINK("http://141.218.60.56/~jnz1568/getInfo.php?workbook=11_01.xlsx&amp;sheet=A0&amp;row=263&amp;col=19&amp;number=&amp;sourceID=12","")</f>
        <v/>
      </c>
      <c r="T263" s="4" t="str">
        <f>HYPERLINK("http://141.218.60.56/~jnz1568/getInfo.php?workbook=11_01.xlsx&amp;sheet=A0&amp;row=263&amp;col=20&amp;number=0.00063934&amp;sourceID=12","0.00063934")</f>
        <v>0.00063934</v>
      </c>
      <c r="U263" s="4" t="str">
        <f>HYPERLINK("http://141.218.60.56/~jnz1568/getInfo.php?workbook=11_01.xlsx&amp;sheet=A0&amp;row=263&amp;col=21&amp;number=241900.0784&amp;sourceID=30","241900.0784")</f>
        <v>241900.0784</v>
      </c>
      <c r="V263" s="4" t="str">
        <f>HYPERLINK("http://141.218.60.56/~jnz1568/getInfo.php?workbook=11_01.xlsx&amp;sheet=A0&amp;row=263&amp;col=22&amp;number=&amp;sourceID=30","")</f>
        <v/>
      </c>
      <c r="W263" s="4" t="str">
        <f>HYPERLINK("http://141.218.60.56/~jnz1568/getInfo.php?workbook=11_01.xlsx&amp;sheet=A0&amp;row=263&amp;col=23&amp;number=241900&amp;sourceID=30","241900")</f>
        <v>241900</v>
      </c>
      <c r="X263" s="4" t="str">
        <f>HYPERLINK("http://141.218.60.56/~jnz1568/getInfo.php?workbook=11_01.xlsx&amp;sheet=A0&amp;row=263&amp;col=24&amp;number=0.0784&amp;sourceID=30","0.0784")</f>
        <v>0.0784</v>
      </c>
      <c r="Y263" s="4" t="str">
        <f>HYPERLINK("http://141.218.60.56/~jnz1568/getInfo.php?workbook=11_01.xlsx&amp;sheet=A0&amp;row=263&amp;col=25&amp;number=&amp;sourceID=30","")</f>
        <v/>
      </c>
      <c r="Z263" s="4" t="str">
        <f>HYPERLINK("http://141.218.60.56/~jnz1568/getInfo.php?workbook=11_01.xlsx&amp;sheet=A0&amp;row=263&amp;col=26&amp;number=&amp;sourceID=13","")</f>
        <v/>
      </c>
      <c r="AA263" s="4" t="str">
        <f>HYPERLINK("http://141.218.60.56/~jnz1568/getInfo.php?workbook=11_01.xlsx&amp;sheet=A0&amp;row=263&amp;col=27&amp;number=&amp;sourceID=13","")</f>
        <v/>
      </c>
      <c r="AB263" s="4" t="str">
        <f>HYPERLINK("http://141.218.60.56/~jnz1568/getInfo.php?workbook=11_01.xlsx&amp;sheet=A0&amp;row=263&amp;col=28&amp;number=&amp;sourceID=13","")</f>
        <v/>
      </c>
      <c r="AC263" s="4" t="str">
        <f>HYPERLINK("http://141.218.60.56/~jnz1568/getInfo.php?workbook=11_01.xlsx&amp;sheet=A0&amp;row=263&amp;col=29&amp;number=&amp;sourceID=13","")</f>
        <v/>
      </c>
      <c r="AD263" s="4" t="str">
        <f>HYPERLINK("http://141.218.60.56/~jnz1568/getInfo.php?workbook=11_01.xlsx&amp;sheet=A0&amp;row=263&amp;col=30&amp;number=&amp;sourceID=13","")</f>
        <v/>
      </c>
      <c r="AE263" s="4" t="str">
        <f>HYPERLINK("http://141.218.60.56/~jnz1568/getInfo.php?workbook=11_01.xlsx&amp;sheet=A0&amp;row=263&amp;col=31&amp;number=&amp;sourceID=13","")</f>
        <v/>
      </c>
    </row>
    <row r="264" spans="1:31">
      <c r="A264" s="3">
        <v>11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HYPERLINK("http://141.218.60.56/~jnz1568/getInfo.php?workbook=11_01.xlsx&amp;sheet=A0&amp;row=264&amp;col=6&amp;number=&amp;sourceID=18","")</f>
        <v/>
      </c>
      <c r="G264" s="4" t="str">
        <f>HYPERLINK("http://141.218.60.56/~jnz1568/getInfo.php?workbook=11_01.xlsx&amp;sheet=A0&amp;row=264&amp;col=7&amp;number==&amp;sourceID=11","=")</f>
        <v>=</v>
      </c>
      <c r="H264" s="4" t="str">
        <f>HYPERLINK("http://141.218.60.56/~jnz1568/getInfo.php?workbook=11_01.xlsx&amp;sheet=A0&amp;row=264&amp;col=8&amp;number=&amp;sourceID=11","")</f>
        <v/>
      </c>
      <c r="I264" s="4" t="str">
        <f>HYPERLINK("http://141.218.60.56/~jnz1568/getInfo.php?workbook=11_01.xlsx&amp;sheet=A0&amp;row=264&amp;col=9&amp;number=&amp;sourceID=11","")</f>
        <v/>
      </c>
      <c r="J264" s="4" t="str">
        <f>HYPERLINK("http://141.218.60.56/~jnz1568/getInfo.php?workbook=11_01.xlsx&amp;sheet=A0&amp;row=264&amp;col=10&amp;number=&amp;sourceID=11","")</f>
        <v/>
      </c>
      <c r="K264" s="4" t="str">
        <f>HYPERLINK("http://141.218.60.56/~jnz1568/getInfo.php?workbook=11_01.xlsx&amp;sheet=A0&amp;row=264&amp;col=11&amp;number=&amp;sourceID=11","")</f>
        <v/>
      </c>
      <c r="L264" s="4" t="str">
        <f>HYPERLINK("http://141.218.60.56/~jnz1568/getInfo.php?workbook=11_01.xlsx&amp;sheet=A0&amp;row=264&amp;col=12&amp;number=&amp;sourceID=11","")</f>
        <v/>
      </c>
      <c r="M264" s="4" t="str">
        <f>HYPERLINK("http://141.218.60.56/~jnz1568/getInfo.php?workbook=11_01.xlsx&amp;sheet=A0&amp;row=264&amp;col=13&amp;number=0&amp;sourceID=11","0")</f>
        <v>0</v>
      </c>
      <c r="N264" s="4" t="str">
        <f>HYPERLINK("http://141.218.60.56/~jnz1568/getInfo.php?workbook=11_01.xlsx&amp;sheet=A0&amp;row=264&amp;col=14&amp;number=0&amp;sourceID=12","0")</f>
        <v>0</v>
      </c>
      <c r="O264" s="4" t="str">
        <f>HYPERLINK("http://141.218.60.56/~jnz1568/getInfo.php?workbook=11_01.xlsx&amp;sheet=A0&amp;row=264&amp;col=15&amp;number=&amp;sourceID=12","")</f>
        <v/>
      </c>
      <c r="P264" s="4" t="str">
        <f>HYPERLINK("http://141.218.60.56/~jnz1568/getInfo.php?workbook=11_01.xlsx&amp;sheet=A0&amp;row=264&amp;col=16&amp;number=&amp;sourceID=12","")</f>
        <v/>
      </c>
      <c r="Q264" s="4" t="str">
        <f>HYPERLINK("http://141.218.60.56/~jnz1568/getInfo.php?workbook=11_01.xlsx&amp;sheet=A0&amp;row=264&amp;col=17&amp;number=&amp;sourceID=12","")</f>
        <v/>
      </c>
      <c r="R264" s="4" t="str">
        <f>HYPERLINK("http://141.218.60.56/~jnz1568/getInfo.php?workbook=11_01.xlsx&amp;sheet=A0&amp;row=264&amp;col=18&amp;number=&amp;sourceID=12","")</f>
        <v/>
      </c>
      <c r="S264" s="4" t="str">
        <f>HYPERLINK("http://141.218.60.56/~jnz1568/getInfo.php?workbook=11_01.xlsx&amp;sheet=A0&amp;row=264&amp;col=19&amp;number=&amp;sourceID=12","")</f>
        <v/>
      </c>
      <c r="T264" s="4" t="str">
        <f>HYPERLINK("http://141.218.60.56/~jnz1568/getInfo.php?workbook=11_01.xlsx&amp;sheet=A0&amp;row=264&amp;col=20&amp;number=0&amp;sourceID=12","0")</f>
        <v>0</v>
      </c>
      <c r="U264" s="4" t="str">
        <f>HYPERLINK("http://141.218.60.56/~jnz1568/getInfo.php?workbook=11_01.xlsx&amp;sheet=A0&amp;row=264&amp;col=21&amp;number=&amp;sourceID=30","")</f>
        <v/>
      </c>
      <c r="V264" s="4" t="str">
        <f>HYPERLINK("http://141.218.60.56/~jnz1568/getInfo.php?workbook=11_01.xlsx&amp;sheet=A0&amp;row=264&amp;col=22&amp;number=&amp;sourceID=30","")</f>
        <v/>
      </c>
      <c r="W264" s="4" t="str">
        <f>HYPERLINK("http://141.218.60.56/~jnz1568/getInfo.php?workbook=11_01.xlsx&amp;sheet=A0&amp;row=264&amp;col=23&amp;number=&amp;sourceID=30","")</f>
        <v/>
      </c>
      <c r="X264" s="4" t="str">
        <f>HYPERLINK("http://141.218.60.56/~jnz1568/getInfo.php?workbook=11_01.xlsx&amp;sheet=A0&amp;row=264&amp;col=24&amp;number=&amp;sourceID=30","")</f>
        <v/>
      </c>
      <c r="Y264" s="4" t="str">
        <f>HYPERLINK("http://141.218.60.56/~jnz1568/getInfo.php?workbook=11_01.xlsx&amp;sheet=A0&amp;row=264&amp;col=25&amp;number=&amp;sourceID=30","")</f>
        <v/>
      </c>
      <c r="Z264" s="4" t="str">
        <f>HYPERLINK("http://141.218.60.56/~jnz1568/getInfo.php?workbook=11_01.xlsx&amp;sheet=A0&amp;row=264&amp;col=26&amp;number=&amp;sourceID=13","")</f>
        <v/>
      </c>
      <c r="AA264" s="4" t="str">
        <f>HYPERLINK("http://141.218.60.56/~jnz1568/getInfo.php?workbook=11_01.xlsx&amp;sheet=A0&amp;row=264&amp;col=27&amp;number=&amp;sourceID=13","")</f>
        <v/>
      </c>
      <c r="AB264" s="4" t="str">
        <f>HYPERLINK("http://141.218.60.56/~jnz1568/getInfo.php?workbook=11_01.xlsx&amp;sheet=A0&amp;row=264&amp;col=28&amp;number=&amp;sourceID=13","")</f>
        <v/>
      </c>
      <c r="AC264" s="4" t="str">
        <f>HYPERLINK("http://141.218.60.56/~jnz1568/getInfo.php?workbook=11_01.xlsx&amp;sheet=A0&amp;row=264&amp;col=29&amp;number=&amp;sourceID=13","")</f>
        <v/>
      </c>
      <c r="AD264" s="4" t="str">
        <f>HYPERLINK("http://141.218.60.56/~jnz1568/getInfo.php?workbook=11_01.xlsx&amp;sheet=A0&amp;row=264&amp;col=30&amp;number=&amp;sourceID=13","")</f>
        <v/>
      </c>
      <c r="AE264" s="4" t="str">
        <f>HYPERLINK("http://141.218.60.56/~jnz1568/getInfo.php?workbook=11_01.xlsx&amp;sheet=A0&amp;row=264&amp;col=31&amp;number=&amp;sourceID=13","")</f>
        <v/>
      </c>
    </row>
    <row r="265" spans="1:31">
      <c r="A265" s="3">
        <v>11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HYPERLINK("http://141.218.60.56/~jnz1568/getInfo.php?workbook=11_01.xlsx&amp;sheet=A0&amp;row=265&amp;col=6&amp;number=&amp;sourceID=18","")</f>
        <v/>
      </c>
      <c r="G265" s="4" t="str">
        <f>HYPERLINK("http://141.218.60.56/~jnz1568/getInfo.php?workbook=11_01.xlsx&amp;sheet=A0&amp;row=265&amp;col=7&amp;number==&amp;sourceID=11","=")</f>
        <v>=</v>
      </c>
      <c r="H265" s="4" t="str">
        <f>HYPERLINK("http://141.218.60.56/~jnz1568/getInfo.php?workbook=11_01.xlsx&amp;sheet=A0&amp;row=265&amp;col=8&amp;number=&amp;sourceID=11","")</f>
        <v/>
      </c>
      <c r="I265" s="4" t="str">
        <f>HYPERLINK("http://141.218.60.56/~jnz1568/getInfo.php?workbook=11_01.xlsx&amp;sheet=A0&amp;row=265&amp;col=9&amp;number=&amp;sourceID=11","")</f>
        <v/>
      </c>
      <c r="J265" s="4" t="str">
        <f>HYPERLINK("http://141.218.60.56/~jnz1568/getInfo.php?workbook=11_01.xlsx&amp;sheet=A0&amp;row=265&amp;col=10&amp;number=0&amp;sourceID=11","0")</f>
        <v>0</v>
      </c>
      <c r="K265" s="4" t="str">
        <f>HYPERLINK("http://141.218.60.56/~jnz1568/getInfo.php?workbook=11_01.xlsx&amp;sheet=A0&amp;row=265&amp;col=11&amp;number=&amp;sourceID=11","")</f>
        <v/>
      </c>
      <c r="L265" s="4" t="str">
        <f>HYPERLINK("http://141.218.60.56/~jnz1568/getInfo.php?workbook=11_01.xlsx&amp;sheet=A0&amp;row=265&amp;col=12&amp;number=&amp;sourceID=11","")</f>
        <v/>
      </c>
      <c r="M265" s="4" t="str">
        <f>HYPERLINK("http://141.218.60.56/~jnz1568/getInfo.php?workbook=11_01.xlsx&amp;sheet=A0&amp;row=265&amp;col=13&amp;number=&amp;sourceID=11","")</f>
        <v/>
      </c>
      <c r="N265" s="4" t="str">
        <f>HYPERLINK("http://141.218.60.56/~jnz1568/getInfo.php?workbook=11_01.xlsx&amp;sheet=A0&amp;row=265&amp;col=14&amp;number=0&amp;sourceID=12","0")</f>
        <v>0</v>
      </c>
      <c r="O265" s="4" t="str">
        <f>HYPERLINK("http://141.218.60.56/~jnz1568/getInfo.php?workbook=11_01.xlsx&amp;sheet=A0&amp;row=265&amp;col=15&amp;number=&amp;sourceID=12","")</f>
        <v/>
      </c>
      <c r="P265" s="4" t="str">
        <f>HYPERLINK("http://141.218.60.56/~jnz1568/getInfo.php?workbook=11_01.xlsx&amp;sheet=A0&amp;row=265&amp;col=16&amp;number=&amp;sourceID=12","")</f>
        <v/>
      </c>
      <c r="Q265" s="4" t="str">
        <f>HYPERLINK("http://141.218.60.56/~jnz1568/getInfo.php?workbook=11_01.xlsx&amp;sheet=A0&amp;row=265&amp;col=17&amp;number=0&amp;sourceID=12","0")</f>
        <v>0</v>
      </c>
      <c r="R265" s="4" t="str">
        <f>HYPERLINK("http://141.218.60.56/~jnz1568/getInfo.php?workbook=11_01.xlsx&amp;sheet=A0&amp;row=265&amp;col=18&amp;number=&amp;sourceID=12","")</f>
        <v/>
      </c>
      <c r="S265" s="4" t="str">
        <f>HYPERLINK("http://141.218.60.56/~jnz1568/getInfo.php?workbook=11_01.xlsx&amp;sheet=A0&amp;row=265&amp;col=19&amp;number=&amp;sourceID=12","")</f>
        <v/>
      </c>
      <c r="T265" s="4" t="str">
        <f>HYPERLINK("http://141.218.60.56/~jnz1568/getInfo.php?workbook=11_01.xlsx&amp;sheet=A0&amp;row=265&amp;col=20&amp;number=&amp;sourceID=12","")</f>
        <v/>
      </c>
      <c r="U265" s="4" t="str">
        <f>HYPERLINK("http://141.218.60.56/~jnz1568/getInfo.php?workbook=11_01.xlsx&amp;sheet=A0&amp;row=265&amp;col=21&amp;number=&amp;sourceID=30","")</f>
        <v/>
      </c>
      <c r="V265" s="4" t="str">
        <f>HYPERLINK("http://141.218.60.56/~jnz1568/getInfo.php?workbook=11_01.xlsx&amp;sheet=A0&amp;row=265&amp;col=22&amp;number=&amp;sourceID=30","")</f>
        <v/>
      </c>
      <c r="W265" s="4" t="str">
        <f>HYPERLINK("http://141.218.60.56/~jnz1568/getInfo.php?workbook=11_01.xlsx&amp;sheet=A0&amp;row=265&amp;col=23&amp;number=&amp;sourceID=30","")</f>
        <v/>
      </c>
      <c r="X265" s="4" t="str">
        <f>HYPERLINK("http://141.218.60.56/~jnz1568/getInfo.php?workbook=11_01.xlsx&amp;sheet=A0&amp;row=265&amp;col=24&amp;number=&amp;sourceID=30","")</f>
        <v/>
      </c>
      <c r="Y265" s="4" t="str">
        <f>HYPERLINK("http://141.218.60.56/~jnz1568/getInfo.php?workbook=11_01.xlsx&amp;sheet=A0&amp;row=265&amp;col=25&amp;number=&amp;sourceID=30","")</f>
        <v/>
      </c>
      <c r="Z265" s="4" t="str">
        <f>HYPERLINK("http://141.218.60.56/~jnz1568/getInfo.php?workbook=11_01.xlsx&amp;sheet=A0&amp;row=265&amp;col=26&amp;number=&amp;sourceID=13","")</f>
        <v/>
      </c>
      <c r="AA265" s="4" t="str">
        <f>HYPERLINK("http://141.218.60.56/~jnz1568/getInfo.php?workbook=11_01.xlsx&amp;sheet=A0&amp;row=265&amp;col=27&amp;number=&amp;sourceID=13","")</f>
        <v/>
      </c>
      <c r="AB265" s="4" t="str">
        <f>HYPERLINK("http://141.218.60.56/~jnz1568/getInfo.php?workbook=11_01.xlsx&amp;sheet=A0&amp;row=265&amp;col=28&amp;number=&amp;sourceID=13","")</f>
        <v/>
      </c>
      <c r="AC265" s="4" t="str">
        <f>HYPERLINK("http://141.218.60.56/~jnz1568/getInfo.php?workbook=11_01.xlsx&amp;sheet=A0&amp;row=265&amp;col=29&amp;number=&amp;sourceID=13","")</f>
        <v/>
      </c>
      <c r="AD265" s="4" t="str">
        <f>HYPERLINK("http://141.218.60.56/~jnz1568/getInfo.php?workbook=11_01.xlsx&amp;sheet=A0&amp;row=265&amp;col=30&amp;number=&amp;sourceID=13","")</f>
        <v/>
      </c>
      <c r="AE265" s="4" t="str">
        <f>HYPERLINK("http://141.218.60.56/~jnz1568/getInfo.php?workbook=11_01.xlsx&amp;sheet=A0&amp;row=265&amp;col=31&amp;number=&amp;sourceID=13","")</f>
        <v/>
      </c>
    </row>
    <row r="266" spans="1:31">
      <c r="A266" s="3">
        <v>11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HYPERLINK("http://141.218.60.56/~jnz1568/getInfo.php?workbook=11_01.xlsx&amp;sheet=A0&amp;row=266&amp;col=6&amp;number=&amp;sourceID=18","")</f>
        <v/>
      </c>
      <c r="G266" s="4" t="str">
        <f>HYPERLINK("http://141.218.60.56/~jnz1568/getInfo.php?workbook=11_01.xlsx&amp;sheet=A0&amp;row=266&amp;col=7&amp;number==&amp;sourceID=11","=")</f>
        <v>=</v>
      </c>
      <c r="H266" s="4" t="str">
        <f>HYPERLINK("http://141.218.60.56/~jnz1568/getInfo.php?workbook=11_01.xlsx&amp;sheet=A0&amp;row=266&amp;col=8&amp;number=&amp;sourceID=11","")</f>
        <v/>
      </c>
      <c r="I266" s="4" t="str">
        <f>HYPERLINK("http://141.218.60.56/~jnz1568/getInfo.php?workbook=11_01.xlsx&amp;sheet=A0&amp;row=266&amp;col=9&amp;number=&amp;sourceID=11","")</f>
        <v/>
      </c>
      <c r="J266" s="4" t="str">
        <f>HYPERLINK("http://141.218.60.56/~jnz1568/getInfo.php?workbook=11_01.xlsx&amp;sheet=A0&amp;row=266&amp;col=10&amp;number=0&amp;sourceID=11","0")</f>
        <v>0</v>
      </c>
      <c r="K266" s="4" t="str">
        <f>HYPERLINK("http://141.218.60.56/~jnz1568/getInfo.php?workbook=11_01.xlsx&amp;sheet=A0&amp;row=266&amp;col=11&amp;number=&amp;sourceID=11","")</f>
        <v/>
      </c>
      <c r="L266" s="4" t="str">
        <f>HYPERLINK("http://141.218.60.56/~jnz1568/getInfo.php?workbook=11_01.xlsx&amp;sheet=A0&amp;row=266&amp;col=12&amp;number=3e-15&amp;sourceID=11","3e-15")</f>
        <v>3e-15</v>
      </c>
      <c r="M266" s="4" t="str">
        <f>HYPERLINK("http://141.218.60.56/~jnz1568/getInfo.php?workbook=11_01.xlsx&amp;sheet=A0&amp;row=266&amp;col=13&amp;number=&amp;sourceID=11","")</f>
        <v/>
      </c>
      <c r="N266" s="4" t="str">
        <f>HYPERLINK("http://141.218.60.56/~jnz1568/getInfo.php?workbook=11_01.xlsx&amp;sheet=A0&amp;row=266&amp;col=14&amp;number=3e-15&amp;sourceID=12","3e-15")</f>
        <v>3e-15</v>
      </c>
      <c r="O266" s="4" t="str">
        <f>HYPERLINK("http://141.218.60.56/~jnz1568/getInfo.php?workbook=11_01.xlsx&amp;sheet=A0&amp;row=266&amp;col=15&amp;number=&amp;sourceID=12","")</f>
        <v/>
      </c>
      <c r="P266" s="4" t="str">
        <f>HYPERLINK("http://141.218.60.56/~jnz1568/getInfo.php?workbook=11_01.xlsx&amp;sheet=A0&amp;row=266&amp;col=16&amp;number=&amp;sourceID=12","")</f>
        <v/>
      </c>
      <c r="Q266" s="4" t="str">
        <f>HYPERLINK("http://141.218.60.56/~jnz1568/getInfo.php?workbook=11_01.xlsx&amp;sheet=A0&amp;row=266&amp;col=17&amp;number=0&amp;sourceID=12","0")</f>
        <v>0</v>
      </c>
      <c r="R266" s="4" t="str">
        <f>HYPERLINK("http://141.218.60.56/~jnz1568/getInfo.php?workbook=11_01.xlsx&amp;sheet=A0&amp;row=266&amp;col=18&amp;number=&amp;sourceID=12","")</f>
        <v/>
      </c>
      <c r="S266" s="4" t="str">
        <f>HYPERLINK("http://141.218.60.56/~jnz1568/getInfo.php?workbook=11_01.xlsx&amp;sheet=A0&amp;row=266&amp;col=19&amp;number=3e-15&amp;sourceID=12","3e-15")</f>
        <v>3e-15</v>
      </c>
      <c r="T266" s="4" t="str">
        <f>HYPERLINK("http://141.218.60.56/~jnz1568/getInfo.php?workbook=11_01.xlsx&amp;sheet=A0&amp;row=266&amp;col=20&amp;number=&amp;sourceID=12","")</f>
        <v/>
      </c>
      <c r="U266" s="4" t="str">
        <f>HYPERLINK("http://141.218.60.56/~jnz1568/getInfo.php?workbook=11_01.xlsx&amp;sheet=A0&amp;row=266&amp;col=21&amp;number=3e-15&amp;sourceID=30","3e-15")</f>
        <v>3e-15</v>
      </c>
      <c r="V266" s="4" t="str">
        <f>HYPERLINK("http://141.218.60.56/~jnz1568/getInfo.php?workbook=11_01.xlsx&amp;sheet=A0&amp;row=266&amp;col=22&amp;number=&amp;sourceID=30","")</f>
        <v/>
      </c>
      <c r="W266" s="4" t="str">
        <f>HYPERLINK("http://141.218.60.56/~jnz1568/getInfo.php?workbook=11_01.xlsx&amp;sheet=A0&amp;row=266&amp;col=23&amp;number=&amp;sourceID=30","")</f>
        <v/>
      </c>
      <c r="X266" s="4" t="str">
        <f>HYPERLINK("http://141.218.60.56/~jnz1568/getInfo.php?workbook=11_01.xlsx&amp;sheet=A0&amp;row=266&amp;col=24&amp;number=&amp;sourceID=30","")</f>
        <v/>
      </c>
      <c r="Y266" s="4" t="str">
        <f>HYPERLINK("http://141.218.60.56/~jnz1568/getInfo.php?workbook=11_01.xlsx&amp;sheet=A0&amp;row=266&amp;col=25&amp;number=3e-15&amp;sourceID=30","3e-15")</f>
        <v>3e-15</v>
      </c>
      <c r="Z266" s="4" t="str">
        <f>HYPERLINK("http://141.218.60.56/~jnz1568/getInfo.php?workbook=11_01.xlsx&amp;sheet=A0&amp;row=266&amp;col=26&amp;number=&amp;sourceID=13","")</f>
        <v/>
      </c>
      <c r="AA266" s="4" t="str">
        <f>HYPERLINK("http://141.218.60.56/~jnz1568/getInfo.php?workbook=11_01.xlsx&amp;sheet=A0&amp;row=266&amp;col=27&amp;number=&amp;sourceID=13","")</f>
        <v/>
      </c>
      <c r="AB266" s="4" t="str">
        <f>HYPERLINK("http://141.218.60.56/~jnz1568/getInfo.php?workbook=11_01.xlsx&amp;sheet=A0&amp;row=266&amp;col=28&amp;number=&amp;sourceID=13","")</f>
        <v/>
      </c>
      <c r="AC266" s="4" t="str">
        <f>HYPERLINK("http://141.218.60.56/~jnz1568/getInfo.php?workbook=11_01.xlsx&amp;sheet=A0&amp;row=266&amp;col=29&amp;number=&amp;sourceID=13","")</f>
        <v/>
      </c>
      <c r="AD266" s="4" t="str">
        <f>HYPERLINK("http://141.218.60.56/~jnz1568/getInfo.php?workbook=11_01.xlsx&amp;sheet=A0&amp;row=266&amp;col=30&amp;number=&amp;sourceID=13","")</f>
        <v/>
      </c>
      <c r="AE266" s="4" t="str">
        <f>HYPERLINK("http://141.218.60.56/~jnz1568/getInfo.php?workbook=11_01.xlsx&amp;sheet=A0&amp;row=266&amp;col=31&amp;number=&amp;sourceID=13","")</f>
        <v/>
      </c>
    </row>
    <row r="267" spans="1:31">
      <c r="A267" s="3">
        <v>11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HYPERLINK("http://141.218.60.56/~jnz1568/getInfo.php?workbook=11_01.xlsx&amp;sheet=A0&amp;row=267&amp;col=6&amp;number=&amp;sourceID=18","")</f>
        <v/>
      </c>
      <c r="G267" s="4" t="str">
        <f>HYPERLINK("http://141.218.60.56/~jnz1568/getInfo.php?workbook=11_01.xlsx&amp;sheet=A0&amp;row=267&amp;col=7&amp;number==&amp;sourceID=11","=")</f>
        <v>=</v>
      </c>
      <c r="H267" s="4" t="str">
        <f>HYPERLINK("http://141.218.60.56/~jnz1568/getInfo.php?workbook=11_01.xlsx&amp;sheet=A0&amp;row=267&amp;col=8&amp;number=&amp;sourceID=11","")</f>
        <v/>
      </c>
      <c r="I267" s="4" t="str">
        <f>HYPERLINK("http://141.218.60.56/~jnz1568/getInfo.php?workbook=11_01.xlsx&amp;sheet=A0&amp;row=267&amp;col=9&amp;number=3.8052e-10&amp;sourceID=11","3.8052e-10")</f>
        <v>3.8052e-10</v>
      </c>
      <c r="J267" s="4" t="str">
        <f>HYPERLINK("http://141.218.60.56/~jnz1568/getInfo.php?workbook=11_01.xlsx&amp;sheet=A0&amp;row=267&amp;col=10&amp;number=&amp;sourceID=11","")</f>
        <v/>
      </c>
      <c r="K267" s="4" t="str">
        <f>HYPERLINK("http://141.218.60.56/~jnz1568/getInfo.php?workbook=11_01.xlsx&amp;sheet=A0&amp;row=267&amp;col=11&amp;number=&amp;sourceID=11","")</f>
        <v/>
      </c>
      <c r="L267" s="4" t="str">
        <f>HYPERLINK("http://141.218.60.56/~jnz1568/getInfo.php?workbook=11_01.xlsx&amp;sheet=A0&amp;row=267&amp;col=12&amp;number=&amp;sourceID=11","")</f>
        <v/>
      </c>
      <c r="M267" s="4" t="str">
        <f>HYPERLINK("http://141.218.60.56/~jnz1568/getInfo.php?workbook=11_01.xlsx&amp;sheet=A0&amp;row=267&amp;col=13&amp;number=0&amp;sourceID=11","0")</f>
        <v>0</v>
      </c>
      <c r="N267" s="4" t="str">
        <f>HYPERLINK("http://141.218.60.56/~jnz1568/getInfo.php?workbook=11_01.xlsx&amp;sheet=A0&amp;row=267&amp;col=14&amp;number=3.806e-10&amp;sourceID=12","3.806e-10")</f>
        <v>3.806e-10</v>
      </c>
      <c r="O267" s="4" t="str">
        <f>HYPERLINK("http://141.218.60.56/~jnz1568/getInfo.php?workbook=11_01.xlsx&amp;sheet=A0&amp;row=267&amp;col=15&amp;number=&amp;sourceID=12","")</f>
        <v/>
      </c>
      <c r="P267" s="4" t="str">
        <f>HYPERLINK("http://141.218.60.56/~jnz1568/getInfo.php?workbook=11_01.xlsx&amp;sheet=A0&amp;row=267&amp;col=16&amp;number=3.806e-10&amp;sourceID=12","3.806e-10")</f>
        <v>3.806e-10</v>
      </c>
      <c r="Q267" s="4" t="str">
        <f>HYPERLINK("http://141.218.60.56/~jnz1568/getInfo.php?workbook=11_01.xlsx&amp;sheet=A0&amp;row=267&amp;col=17&amp;number=&amp;sourceID=12","")</f>
        <v/>
      </c>
      <c r="R267" s="4" t="str">
        <f>HYPERLINK("http://141.218.60.56/~jnz1568/getInfo.php?workbook=11_01.xlsx&amp;sheet=A0&amp;row=267&amp;col=18&amp;number=&amp;sourceID=12","")</f>
        <v/>
      </c>
      <c r="S267" s="4" t="str">
        <f>HYPERLINK("http://141.218.60.56/~jnz1568/getInfo.php?workbook=11_01.xlsx&amp;sheet=A0&amp;row=267&amp;col=19&amp;number=&amp;sourceID=12","")</f>
        <v/>
      </c>
      <c r="T267" s="4" t="str">
        <f>HYPERLINK("http://141.218.60.56/~jnz1568/getInfo.php?workbook=11_01.xlsx&amp;sheet=A0&amp;row=267&amp;col=20&amp;number=0&amp;sourceID=12","0")</f>
        <v>0</v>
      </c>
      <c r="U267" s="4" t="str">
        <f>HYPERLINK("http://141.218.60.56/~jnz1568/getInfo.php?workbook=11_01.xlsx&amp;sheet=A0&amp;row=267&amp;col=21&amp;number=3.806e-10&amp;sourceID=30","3.806e-10")</f>
        <v>3.806e-10</v>
      </c>
      <c r="V267" s="4" t="str">
        <f>HYPERLINK("http://141.218.60.56/~jnz1568/getInfo.php?workbook=11_01.xlsx&amp;sheet=A0&amp;row=267&amp;col=22&amp;number=&amp;sourceID=30","")</f>
        <v/>
      </c>
      <c r="W267" s="4" t="str">
        <f>HYPERLINK("http://141.218.60.56/~jnz1568/getInfo.php?workbook=11_01.xlsx&amp;sheet=A0&amp;row=267&amp;col=23&amp;number=3.806e-10&amp;sourceID=30","3.806e-10")</f>
        <v>3.806e-10</v>
      </c>
      <c r="X267" s="4" t="str">
        <f>HYPERLINK("http://141.218.60.56/~jnz1568/getInfo.php?workbook=11_01.xlsx&amp;sheet=A0&amp;row=267&amp;col=24&amp;number=&amp;sourceID=30","")</f>
        <v/>
      </c>
      <c r="Y267" s="4" t="str">
        <f>HYPERLINK("http://141.218.60.56/~jnz1568/getInfo.php?workbook=11_01.xlsx&amp;sheet=A0&amp;row=267&amp;col=25&amp;number=&amp;sourceID=30","")</f>
        <v/>
      </c>
      <c r="Z267" s="4" t="str">
        <f>HYPERLINK("http://141.218.60.56/~jnz1568/getInfo.php?workbook=11_01.xlsx&amp;sheet=A0&amp;row=267&amp;col=26&amp;number=&amp;sourceID=13","")</f>
        <v/>
      </c>
      <c r="AA267" s="4" t="str">
        <f>HYPERLINK("http://141.218.60.56/~jnz1568/getInfo.php?workbook=11_01.xlsx&amp;sheet=A0&amp;row=267&amp;col=27&amp;number=&amp;sourceID=13","")</f>
        <v/>
      </c>
      <c r="AB267" s="4" t="str">
        <f>HYPERLINK("http://141.218.60.56/~jnz1568/getInfo.php?workbook=11_01.xlsx&amp;sheet=A0&amp;row=267&amp;col=28&amp;number=&amp;sourceID=13","")</f>
        <v/>
      </c>
      <c r="AC267" s="4" t="str">
        <f>HYPERLINK("http://141.218.60.56/~jnz1568/getInfo.php?workbook=11_01.xlsx&amp;sheet=A0&amp;row=267&amp;col=29&amp;number=&amp;sourceID=13","")</f>
        <v/>
      </c>
      <c r="AD267" s="4" t="str">
        <f>HYPERLINK("http://141.218.60.56/~jnz1568/getInfo.php?workbook=11_01.xlsx&amp;sheet=A0&amp;row=267&amp;col=30&amp;number=&amp;sourceID=13","")</f>
        <v/>
      </c>
      <c r="AE267" s="4" t="str">
        <f>HYPERLINK("http://141.218.60.56/~jnz1568/getInfo.php?workbook=11_01.xlsx&amp;sheet=A0&amp;row=267&amp;col=31&amp;number=&amp;sourceID=13","")</f>
        <v/>
      </c>
    </row>
    <row r="268" spans="1:31">
      <c r="A268" s="3">
        <v>11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HYPERLINK("http://141.218.60.56/~jnz1568/getInfo.php?workbook=11_01.xlsx&amp;sheet=A0&amp;row=268&amp;col=6&amp;number=&amp;sourceID=18","")</f>
        <v/>
      </c>
      <c r="G268" s="4" t="str">
        <f>HYPERLINK("http://141.218.60.56/~jnz1568/getInfo.php?workbook=11_01.xlsx&amp;sheet=A0&amp;row=268&amp;col=7&amp;number==&amp;sourceID=11","=")</f>
        <v>=</v>
      </c>
      <c r="H268" s="4" t="str">
        <f>HYPERLINK("http://141.218.60.56/~jnz1568/getInfo.php?workbook=11_01.xlsx&amp;sheet=A0&amp;row=268&amp;col=8&amp;number=&amp;sourceID=11","")</f>
        <v/>
      </c>
      <c r="I268" s="4" t="str">
        <f>HYPERLINK("http://141.218.60.56/~jnz1568/getInfo.php?workbook=11_01.xlsx&amp;sheet=A0&amp;row=268&amp;col=9&amp;number=1.67e-13&amp;sourceID=11","1.67e-13")</f>
        <v>1.67e-13</v>
      </c>
      <c r="J268" s="4" t="str">
        <f>HYPERLINK("http://141.218.60.56/~jnz1568/getInfo.php?workbook=11_01.xlsx&amp;sheet=A0&amp;row=268&amp;col=10&amp;number=&amp;sourceID=11","")</f>
        <v/>
      </c>
      <c r="K268" s="4" t="str">
        <f>HYPERLINK("http://141.218.60.56/~jnz1568/getInfo.php?workbook=11_01.xlsx&amp;sheet=A0&amp;row=268&amp;col=11&amp;number=2.1486e-06&amp;sourceID=11","2.1486e-06")</f>
        <v>2.1486e-06</v>
      </c>
      <c r="L268" s="4" t="str">
        <f>HYPERLINK("http://141.218.60.56/~jnz1568/getInfo.php?workbook=11_01.xlsx&amp;sheet=A0&amp;row=268&amp;col=12&amp;number=&amp;sourceID=11","")</f>
        <v/>
      </c>
      <c r="M268" s="4" t="str">
        <f>HYPERLINK("http://141.218.60.56/~jnz1568/getInfo.php?workbook=11_01.xlsx&amp;sheet=A0&amp;row=268&amp;col=13&amp;number=0&amp;sourceID=11","0")</f>
        <v>0</v>
      </c>
      <c r="N268" s="4" t="str">
        <f>HYPERLINK("http://141.218.60.56/~jnz1568/getInfo.php?workbook=11_01.xlsx&amp;sheet=A0&amp;row=268&amp;col=14&amp;number=2.1489e-06&amp;sourceID=12","2.1489e-06")</f>
        <v>2.1489e-06</v>
      </c>
      <c r="O268" s="4" t="str">
        <f>HYPERLINK("http://141.218.60.56/~jnz1568/getInfo.php?workbook=11_01.xlsx&amp;sheet=A0&amp;row=268&amp;col=15&amp;number=&amp;sourceID=12","")</f>
        <v/>
      </c>
      <c r="P268" s="4" t="str">
        <f>HYPERLINK("http://141.218.60.56/~jnz1568/getInfo.php?workbook=11_01.xlsx&amp;sheet=A0&amp;row=268&amp;col=16&amp;number=1.67e-13&amp;sourceID=12","1.67e-13")</f>
        <v>1.67e-13</v>
      </c>
      <c r="Q268" s="4" t="str">
        <f>HYPERLINK("http://141.218.60.56/~jnz1568/getInfo.php?workbook=11_01.xlsx&amp;sheet=A0&amp;row=268&amp;col=17&amp;number=&amp;sourceID=12","")</f>
        <v/>
      </c>
      <c r="R268" s="4" t="str">
        <f>HYPERLINK("http://141.218.60.56/~jnz1568/getInfo.php?workbook=11_01.xlsx&amp;sheet=A0&amp;row=268&amp;col=18&amp;number=2.1489e-06&amp;sourceID=12","2.1489e-06")</f>
        <v>2.1489e-06</v>
      </c>
      <c r="S268" s="4" t="str">
        <f>HYPERLINK("http://141.218.60.56/~jnz1568/getInfo.php?workbook=11_01.xlsx&amp;sheet=A0&amp;row=268&amp;col=19&amp;number=&amp;sourceID=12","")</f>
        <v/>
      </c>
      <c r="T268" s="4" t="str">
        <f>HYPERLINK("http://141.218.60.56/~jnz1568/getInfo.php?workbook=11_01.xlsx&amp;sheet=A0&amp;row=268&amp;col=20&amp;number=0&amp;sourceID=12","0")</f>
        <v>0</v>
      </c>
      <c r="U268" s="4" t="str">
        <f>HYPERLINK("http://141.218.60.56/~jnz1568/getInfo.php?workbook=11_01.xlsx&amp;sheet=A0&amp;row=268&amp;col=21&amp;number=2.149000167e-06&amp;sourceID=30","2.149000167e-06")</f>
        <v>2.149000167e-06</v>
      </c>
      <c r="V268" s="4" t="str">
        <f>HYPERLINK("http://141.218.60.56/~jnz1568/getInfo.php?workbook=11_01.xlsx&amp;sheet=A0&amp;row=268&amp;col=22&amp;number=&amp;sourceID=30","")</f>
        <v/>
      </c>
      <c r="W268" s="4" t="str">
        <f>HYPERLINK("http://141.218.60.56/~jnz1568/getInfo.php?workbook=11_01.xlsx&amp;sheet=A0&amp;row=268&amp;col=23&amp;number=1.67e-13&amp;sourceID=30","1.67e-13")</f>
        <v>1.67e-13</v>
      </c>
      <c r="X268" s="4" t="str">
        <f>HYPERLINK("http://141.218.60.56/~jnz1568/getInfo.php?workbook=11_01.xlsx&amp;sheet=A0&amp;row=268&amp;col=24&amp;number=2.149e-06&amp;sourceID=30","2.149e-06")</f>
        <v>2.149e-06</v>
      </c>
      <c r="Y268" s="4" t="str">
        <f>HYPERLINK("http://141.218.60.56/~jnz1568/getInfo.php?workbook=11_01.xlsx&amp;sheet=A0&amp;row=268&amp;col=25&amp;number=&amp;sourceID=30","")</f>
        <v/>
      </c>
      <c r="Z268" s="4" t="str">
        <f>HYPERLINK("http://141.218.60.56/~jnz1568/getInfo.php?workbook=11_01.xlsx&amp;sheet=A0&amp;row=268&amp;col=26&amp;number=&amp;sourceID=13","")</f>
        <v/>
      </c>
      <c r="AA268" s="4" t="str">
        <f>HYPERLINK("http://141.218.60.56/~jnz1568/getInfo.php?workbook=11_01.xlsx&amp;sheet=A0&amp;row=268&amp;col=27&amp;number=&amp;sourceID=13","")</f>
        <v/>
      </c>
      <c r="AB268" s="4" t="str">
        <f>HYPERLINK("http://141.218.60.56/~jnz1568/getInfo.php?workbook=11_01.xlsx&amp;sheet=A0&amp;row=268&amp;col=28&amp;number=&amp;sourceID=13","")</f>
        <v/>
      </c>
      <c r="AC268" s="4" t="str">
        <f>HYPERLINK("http://141.218.60.56/~jnz1568/getInfo.php?workbook=11_01.xlsx&amp;sheet=A0&amp;row=268&amp;col=29&amp;number=&amp;sourceID=13","")</f>
        <v/>
      </c>
      <c r="AD268" s="4" t="str">
        <f>HYPERLINK("http://141.218.60.56/~jnz1568/getInfo.php?workbook=11_01.xlsx&amp;sheet=A0&amp;row=268&amp;col=30&amp;number=&amp;sourceID=13","")</f>
        <v/>
      </c>
      <c r="AE268" s="4" t="str">
        <f>HYPERLINK("http://141.218.60.56/~jnz1568/getInfo.php?workbook=11_01.xlsx&amp;sheet=A0&amp;row=268&amp;col=31&amp;number=&amp;sourceID=13","")</f>
        <v/>
      </c>
    </row>
    <row r="269" spans="1:31">
      <c r="A269" s="3">
        <v>11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HYPERLINK("http://141.218.60.56/~jnz1568/getInfo.php?workbook=11_01.xlsx&amp;sheet=A0&amp;row=269&amp;col=6&amp;number=&amp;sourceID=18","")</f>
        <v/>
      </c>
      <c r="G269" s="4" t="str">
        <f>HYPERLINK("http://141.218.60.56/~jnz1568/getInfo.php?workbook=11_01.xlsx&amp;sheet=A0&amp;row=269&amp;col=7&amp;number==&amp;sourceID=11","=")</f>
        <v>=</v>
      </c>
      <c r="H269" s="4" t="str">
        <f>HYPERLINK("http://141.218.60.56/~jnz1568/getInfo.php?workbook=11_01.xlsx&amp;sheet=A0&amp;row=269&amp;col=8&amp;number=1.2003&amp;sourceID=11","1.2003")</f>
        <v>1.2003</v>
      </c>
      <c r="I269" s="4" t="str">
        <f>HYPERLINK("http://141.218.60.56/~jnz1568/getInfo.php?workbook=11_01.xlsx&amp;sheet=A0&amp;row=269&amp;col=9&amp;number=&amp;sourceID=11","")</f>
        <v/>
      </c>
      <c r="J269" s="4" t="str">
        <f>HYPERLINK("http://141.218.60.56/~jnz1568/getInfo.php?workbook=11_01.xlsx&amp;sheet=A0&amp;row=269&amp;col=10&amp;number=0&amp;sourceID=11","0")</f>
        <v>0</v>
      </c>
      <c r="K269" s="4" t="str">
        <f>HYPERLINK("http://141.218.60.56/~jnz1568/getInfo.php?workbook=11_01.xlsx&amp;sheet=A0&amp;row=269&amp;col=11&amp;number=&amp;sourceID=11","")</f>
        <v/>
      </c>
      <c r="L269" s="4" t="str">
        <f>HYPERLINK("http://141.218.60.56/~jnz1568/getInfo.php?workbook=11_01.xlsx&amp;sheet=A0&amp;row=269&amp;col=12&amp;number=0&amp;sourceID=11","0")</f>
        <v>0</v>
      </c>
      <c r="M269" s="4" t="str">
        <f>HYPERLINK("http://141.218.60.56/~jnz1568/getInfo.php?workbook=11_01.xlsx&amp;sheet=A0&amp;row=269&amp;col=13&amp;number=&amp;sourceID=11","")</f>
        <v/>
      </c>
      <c r="N269" s="4" t="str">
        <f>HYPERLINK("http://141.218.60.56/~jnz1568/getInfo.php?workbook=11_01.xlsx&amp;sheet=A0&amp;row=269&amp;col=14&amp;number=1.2004&amp;sourceID=12","1.2004")</f>
        <v>1.2004</v>
      </c>
      <c r="O269" s="4" t="str">
        <f>HYPERLINK("http://141.218.60.56/~jnz1568/getInfo.php?workbook=11_01.xlsx&amp;sheet=A0&amp;row=269&amp;col=15&amp;number=1.2004&amp;sourceID=12","1.2004")</f>
        <v>1.2004</v>
      </c>
      <c r="P269" s="4" t="str">
        <f>HYPERLINK("http://141.218.60.56/~jnz1568/getInfo.php?workbook=11_01.xlsx&amp;sheet=A0&amp;row=269&amp;col=16&amp;number=&amp;sourceID=12","")</f>
        <v/>
      </c>
      <c r="Q269" s="4" t="str">
        <f>HYPERLINK("http://141.218.60.56/~jnz1568/getInfo.php?workbook=11_01.xlsx&amp;sheet=A0&amp;row=269&amp;col=17&amp;number=0&amp;sourceID=12","0")</f>
        <v>0</v>
      </c>
      <c r="R269" s="4" t="str">
        <f>HYPERLINK("http://141.218.60.56/~jnz1568/getInfo.php?workbook=11_01.xlsx&amp;sheet=A0&amp;row=269&amp;col=18&amp;number=&amp;sourceID=12","")</f>
        <v/>
      </c>
      <c r="S269" s="4" t="str">
        <f>HYPERLINK("http://141.218.60.56/~jnz1568/getInfo.php?workbook=11_01.xlsx&amp;sheet=A0&amp;row=269&amp;col=19&amp;number=0&amp;sourceID=12","0")</f>
        <v>0</v>
      </c>
      <c r="T269" s="4" t="str">
        <f>HYPERLINK("http://141.218.60.56/~jnz1568/getInfo.php?workbook=11_01.xlsx&amp;sheet=A0&amp;row=269&amp;col=20&amp;number=&amp;sourceID=12","")</f>
        <v/>
      </c>
      <c r="U269" s="4" t="str">
        <f>HYPERLINK("http://141.218.60.56/~jnz1568/getInfo.php?workbook=11_01.xlsx&amp;sheet=A0&amp;row=269&amp;col=21&amp;number=1.2&amp;sourceID=30","1.2")</f>
        <v>1.2</v>
      </c>
      <c r="V269" s="4" t="str">
        <f>HYPERLINK("http://141.218.60.56/~jnz1568/getInfo.php?workbook=11_01.xlsx&amp;sheet=A0&amp;row=269&amp;col=22&amp;number=1.2&amp;sourceID=30","1.2")</f>
        <v>1.2</v>
      </c>
      <c r="W269" s="4" t="str">
        <f>HYPERLINK("http://141.218.60.56/~jnz1568/getInfo.php?workbook=11_01.xlsx&amp;sheet=A0&amp;row=269&amp;col=23&amp;number=&amp;sourceID=30","")</f>
        <v/>
      </c>
      <c r="X269" s="4" t="str">
        <f>HYPERLINK("http://141.218.60.56/~jnz1568/getInfo.php?workbook=11_01.xlsx&amp;sheet=A0&amp;row=269&amp;col=24&amp;number=&amp;sourceID=30","")</f>
        <v/>
      </c>
      <c r="Y269" s="4" t="str">
        <f>HYPERLINK("http://141.218.60.56/~jnz1568/getInfo.php?workbook=11_01.xlsx&amp;sheet=A0&amp;row=269&amp;col=25&amp;number=0&amp;sourceID=30","0")</f>
        <v>0</v>
      </c>
      <c r="Z269" s="4" t="str">
        <f>HYPERLINK("http://141.218.60.56/~jnz1568/getInfo.php?workbook=11_01.xlsx&amp;sheet=A0&amp;row=269&amp;col=26&amp;number=&amp;sourceID=13","")</f>
        <v/>
      </c>
      <c r="AA269" s="4" t="str">
        <f>HYPERLINK("http://141.218.60.56/~jnz1568/getInfo.php?workbook=11_01.xlsx&amp;sheet=A0&amp;row=269&amp;col=27&amp;number=&amp;sourceID=13","")</f>
        <v/>
      </c>
      <c r="AB269" s="4" t="str">
        <f>HYPERLINK("http://141.218.60.56/~jnz1568/getInfo.php?workbook=11_01.xlsx&amp;sheet=A0&amp;row=269&amp;col=28&amp;number=&amp;sourceID=13","")</f>
        <v/>
      </c>
      <c r="AC269" s="4" t="str">
        <f>HYPERLINK("http://141.218.60.56/~jnz1568/getInfo.php?workbook=11_01.xlsx&amp;sheet=A0&amp;row=269&amp;col=29&amp;number=&amp;sourceID=13","")</f>
        <v/>
      </c>
      <c r="AD269" s="4" t="str">
        <f>HYPERLINK("http://141.218.60.56/~jnz1568/getInfo.php?workbook=11_01.xlsx&amp;sheet=A0&amp;row=269&amp;col=30&amp;number=&amp;sourceID=13","")</f>
        <v/>
      </c>
      <c r="AE269" s="4" t="str">
        <f>HYPERLINK("http://141.218.60.56/~jnz1568/getInfo.php?workbook=11_01.xlsx&amp;sheet=A0&amp;row=269&amp;col=31&amp;number=&amp;sourceID=13","")</f>
        <v/>
      </c>
    </row>
    <row r="270" spans="1:31">
      <c r="A270" s="3">
        <v>11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HYPERLINK("http://141.218.60.56/~jnz1568/getInfo.php?workbook=11_01.xlsx&amp;sheet=A0&amp;row=270&amp;col=6&amp;number=&amp;sourceID=18","")</f>
        <v/>
      </c>
      <c r="G270" s="4" t="str">
        <f>HYPERLINK("http://141.218.60.56/~jnz1568/getInfo.php?workbook=11_01.xlsx&amp;sheet=A0&amp;row=270&amp;col=7&amp;number==&amp;sourceID=11","=")</f>
        <v>=</v>
      </c>
      <c r="H270" s="4" t="str">
        <f>HYPERLINK("http://141.218.60.56/~jnz1568/getInfo.php?workbook=11_01.xlsx&amp;sheet=A0&amp;row=270&amp;col=8&amp;number=&amp;sourceID=11","")</f>
        <v/>
      </c>
      <c r="I270" s="4" t="str">
        <f>HYPERLINK("http://141.218.60.56/~jnz1568/getInfo.php?workbook=11_01.xlsx&amp;sheet=A0&amp;row=270&amp;col=9&amp;number=&amp;sourceID=11","")</f>
        <v/>
      </c>
      <c r="J270" s="4" t="str">
        <f>HYPERLINK("http://141.218.60.56/~jnz1568/getInfo.php?workbook=11_01.xlsx&amp;sheet=A0&amp;row=270&amp;col=10&amp;number=7170.2&amp;sourceID=11","7170.2")</f>
        <v>7170.2</v>
      </c>
      <c r="K270" s="4" t="str">
        <f>HYPERLINK("http://141.218.60.56/~jnz1568/getInfo.php?workbook=11_01.xlsx&amp;sheet=A0&amp;row=270&amp;col=11&amp;number=&amp;sourceID=11","")</f>
        <v/>
      </c>
      <c r="L270" s="4" t="str">
        <f>HYPERLINK("http://141.218.60.56/~jnz1568/getInfo.php?workbook=11_01.xlsx&amp;sheet=A0&amp;row=270&amp;col=12&amp;number=&amp;sourceID=11","")</f>
        <v/>
      </c>
      <c r="M270" s="4" t="str">
        <f>HYPERLINK("http://141.218.60.56/~jnz1568/getInfo.php?workbook=11_01.xlsx&amp;sheet=A0&amp;row=270&amp;col=13&amp;number=&amp;sourceID=11","")</f>
        <v/>
      </c>
      <c r="N270" s="4" t="str">
        <f>HYPERLINK("http://141.218.60.56/~jnz1568/getInfo.php?workbook=11_01.xlsx&amp;sheet=A0&amp;row=270&amp;col=14&amp;number=7170.4&amp;sourceID=12","7170.4")</f>
        <v>7170.4</v>
      </c>
      <c r="O270" s="4" t="str">
        <f>HYPERLINK("http://141.218.60.56/~jnz1568/getInfo.php?workbook=11_01.xlsx&amp;sheet=A0&amp;row=270&amp;col=15&amp;number=&amp;sourceID=12","")</f>
        <v/>
      </c>
      <c r="P270" s="4" t="str">
        <f>HYPERLINK("http://141.218.60.56/~jnz1568/getInfo.php?workbook=11_01.xlsx&amp;sheet=A0&amp;row=270&amp;col=16&amp;number=&amp;sourceID=12","")</f>
        <v/>
      </c>
      <c r="Q270" s="4" t="str">
        <f>HYPERLINK("http://141.218.60.56/~jnz1568/getInfo.php?workbook=11_01.xlsx&amp;sheet=A0&amp;row=270&amp;col=17&amp;number=7170.4&amp;sourceID=12","7170.4")</f>
        <v>7170.4</v>
      </c>
      <c r="R270" s="4" t="str">
        <f>HYPERLINK("http://141.218.60.56/~jnz1568/getInfo.php?workbook=11_01.xlsx&amp;sheet=A0&amp;row=270&amp;col=18&amp;number=&amp;sourceID=12","")</f>
        <v/>
      </c>
      <c r="S270" s="4" t="str">
        <f>HYPERLINK("http://141.218.60.56/~jnz1568/getInfo.php?workbook=11_01.xlsx&amp;sheet=A0&amp;row=270&amp;col=19&amp;number=&amp;sourceID=12","")</f>
        <v/>
      </c>
      <c r="T270" s="4" t="str">
        <f>HYPERLINK("http://141.218.60.56/~jnz1568/getInfo.php?workbook=11_01.xlsx&amp;sheet=A0&amp;row=270&amp;col=20&amp;number=&amp;sourceID=12","")</f>
        <v/>
      </c>
      <c r="U270" s="4" t="str">
        <f>HYPERLINK("http://141.218.60.56/~jnz1568/getInfo.php?workbook=11_01.xlsx&amp;sheet=A0&amp;row=270&amp;col=21&amp;number=&amp;sourceID=30","")</f>
        <v/>
      </c>
      <c r="V270" s="4" t="str">
        <f>HYPERLINK("http://141.218.60.56/~jnz1568/getInfo.php?workbook=11_01.xlsx&amp;sheet=A0&amp;row=270&amp;col=22&amp;number=&amp;sourceID=30","")</f>
        <v/>
      </c>
      <c r="W270" s="4" t="str">
        <f>HYPERLINK("http://141.218.60.56/~jnz1568/getInfo.php?workbook=11_01.xlsx&amp;sheet=A0&amp;row=270&amp;col=23&amp;number=&amp;sourceID=30","")</f>
        <v/>
      </c>
      <c r="X270" s="4" t="str">
        <f>HYPERLINK("http://141.218.60.56/~jnz1568/getInfo.php?workbook=11_01.xlsx&amp;sheet=A0&amp;row=270&amp;col=24&amp;number=&amp;sourceID=30","")</f>
        <v/>
      </c>
      <c r="Y270" s="4" t="str">
        <f>HYPERLINK("http://141.218.60.56/~jnz1568/getInfo.php?workbook=11_01.xlsx&amp;sheet=A0&amp;row=270&amp;col=25&amp;number=&amp;sourceID=30","")</f>
        <v/>
      </c>
      <c r="Z270" s="4" t="str">
        <f>HYPERLINK("http://141.218.60.56/~jnz1568/getInfo.php?workbook=11_01.xlsx&amp;sheet=A0&amp;row=270&amp;col=26&amp;number=&amp;sourceID=13","")</f>
        <v/>
      </c>
      <c r="AA270" s="4" t="str">
        <f>HYPERLINK("http://141.218.60.56/~jnz1568/getInfo.php?workbook=11_01.xlsx&amp;sheet=A0&amp;row=270&amp;col=27&amp;number=&amp;sourceID=13","")</f>
        <v/>
      </c>
      <c r="AB270" s="4" t="str">
        <f>HYPERLINK("http://141.218.60.56/~jnz1568/getInfo.php?workbook=11_01.xlsx&amp;sheet=A0&amp;row=270&amp;col=28&amp;number=&amp;sourceID=13","")</f>
        <v/>
      </c>
      <c r="AC270" s="4" t="str">
        <f>HYPERLINK("http://141.218.60.56/~jnz1568/getInfo.php?workbook=11_01.xlsx&amp;sheet=A0&amp;row=270&amp;col=29&amp;number=&amp;sourceID=13","")</f>
        <v/>
      </c>
      <c r="AD270" s="4" t="str">
        <f>HYPERLINK("http://141.218.60.56/~jnz1568/getInfo.php?workbook=11_01.xlsx&amp;sheet=A0&amp;row=270&amp;col=30&amp;number=&amp;sourceID=13","")</f>
        <v/>
      </c>
      <c r="AE270" s="4" t="str">
        <f>HYPERLINK("http://141.218.60.56/~jnz1568/getInfo.php?workbook=11_01.xlsx&amp;sheet=A0&amp;row=270&amp;col=31&amp;number=&amp;sourceID=13","")</f>
        <v/>
      </c>
    </row>
    <row r="271" spans="1:31">
      <c r="A271" s="3">
        <v>11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HYPERLINK("http://141.218.60.56/~jnz1568/getInfo.php?workbook=11_01.xlsx&amp;sheet=A0&amp;row=271&amp;col=6&amp;number=&amp;sourceID=18","")</f>
        <v/>
      </c>
      <c r="G271" s="4" t="str">
        <f>HYPERLINK("http://141.218.60.56/~jnz1568/getInfo.php?workbook=11_01.xlsx&amp;sheet=A0&amp;row=271&amp;col=7&amp;number==&amp;sourceID=11","=")</f>
        <v>=</v>
      </c>
      <c r="H271" s="4" t="str">
        <f>HYPERLINK("http://141.218.60.56/~jnz1568/getInfo.php?workbook=11_01.xlsx&amp;sheet=A0&amp;row=271&amp;col=8&amp;number=&amp;sourceID=11","")</f>
        <v/>
      </c>
      <c r="I271" s="4" t="str">
        <f>HYPERLINK("http://141.218.60.56/~jnz1568/getInfo.php?workbook=11_01.xlsx&amp;sheet=A0&amp;row=271&amp;col=9&amp;number=&amp;sourceID=11","")</f>
        <v/>
      </c>
      <c r="J271" s="4" t="str">
        <f>HYPERLINK("http://141.218.60.56/~jnz1568/getInfo.php?workbook=11_01.xlsx&amp;sheet=A0&amp;row=271&amp;col=10&amp;number=&amp;sourceID=11","")</f>
        <v/>
      </c>
      <c r="K271" s="4" t="str">
        <f>HYPERLINK("http://141.218.60.56/~jnz1568/getInfo.php?workbook=11_01.xlsx&amp;sheet=A0&amp;row=271&amp;col=11&amp;number=&amp;sourceID=11","")</f>
        <v/>
      </c>
      <c r="L271" s="4" t="str">
        <f>HYPERLINK("http://141.218.60.56/~jnz1568/getInfo.php?workbook=11_01.xlsx&amp;sheet=A0&amp;row=271&amp;col=12&amp;number=&amp;sourceID=11","")</f>
        <v/>
      </c>
      <c r="M271" s="4" t="str">
        <f>HYPERLINK("http://141.218.60.56/~jnz1568/getInfo.php?workbook=11_01.xlsx&amp;sheet=A0&amp;row=271&amp;col=13&amp;number=0.092687&amp;sourceID=11","0.092687")</f>
        <v>0.092687</v>
      </c>
      <c r="N271" s="4" t="str">
        <f>HYPERLINK("http://141.218.60.56/~jnz1568/getInfo.php?workbook=11_01.xlsx&amp;sheet=A0&amp;row=271&amp;col=14&amp;number=0.09269&amp;sourceID=12","0.09269")</f>
        <v>0.09269</v>
      </c>
      <c r="O271" s="4" t="str">
        <f>HYPERLINK("http://141.218.60.56/~jnz1568/getInfo.php?workbook=11_01.xlsx&amp;sheet=A0&amp;row=271&amp;col=15&amp;number=&amp;sourceID=12","")</f>
        <v/>
      </c>
      <c r="P271" s="4" t="str">
        <f>HYPERLINK("http://141.218.60.56/~jnz1568/getInfo.php?workbook=11_01.xlsx&amp;sheet=A0&amp;row=271&amp;col=16&amp;number=&amp;sourceID=12","")</f>
        <v/>
      </c>
      <c r="Q271" s="4" t="str">
        <f>HYPERLINK("http://141.218.60.56/~jnz1568/getInfo.php?workbook=11_01.xlsx&amp;sheet=A0&amp;row=271&amp;col=17&amp;number=&amp;sourceID=12","")</f>
        <v/>
      </c>
      <c r="R271" s="4" t="str">
        <f>HYPERLINK("http://141.218.60.56/~jnz1568/getInfo.php?workbook=11_01.xlsx&amp;sheet=A0&amp;row=271&amp;col=18&amp;number=&amp;sourceID=12","")</f>
        <v/>
      </c>
      <c r="S271" s="4" t="str">
        <f>HYPERLINK("http://141.218.60.56/~jnz1568/getInfo.php?workbook=11_01.xlsx&amp;sheet=A0&amp;row=271&amp;col=19&amp;number=&amp;sourceID=12","")</f>
        <v/>
      </c>
      <c r="T271" s="4" t="str">
        <f>HYPERLINK("http://141.218.60.56/~jnz1568/getInfo.php?workbook=11_01.xlsx&amp;sheet=A0&amp;row=271&amp;col=20&amp;number=0.09269&amp;sourceID=12","0.09269")</f>
        <v>0.09269</v>
      </c>
      <c r="U271" s="4" t="str">
        <f>HYPERLINK("http://141.218.60.56/~jnz1568/getInfo.php?workbook=11_01.xlsx&amp;sheet=A0&amp;row=271&amp;col=21&amp;number=&amp;sourceID=30","")</f>
        <v/>
      </c>
      <c r="V271" s="4" t="str">
        <f>HYPERLINK("http://141.218.60.56/~jnz1568/getInfo.php?workbook=11_01.xlsx&amp;sheet=A0&amp;row=271&amp;col=22&amp;number=&amp;sourceID=30","")</f>
        <v/>
      </c>
      <c r="W271" s="4" t="str">
        <f>HYPERLINK("http://141.218.60.56/~jnz1568/getInfo.php?workbook=11_01.xlsx&amp;sheet=A0&amp;row=271&amp;col=23&amp;number=&amp;sourceID=30","")</f>
        <v/>
      </c>
      <c r="X271" s="4" t="str">
        <f>HYPERLINK("http://141.218.60.56/~jnz1568/getInfo.php?workbook=11_01.xlsx&amp;sheet=A0&amp;row=271&amp;col=24&amp;number=&amp;sourceID=30","")</f>
        <v/>
      </c>
      <c r="Y271" s="4" t="str">
        <f>HYPERLINK("http://141.218.60.56/~jnz1568/getInfo.php?workbook=11_01.xlsx&amp;sheet=A0&amp;row=271&amp;col=25&amp;number=&amp;sourceID=30","")</f>
        <v/>
      </c>
      <c r="Z271" s="4" t="str">
        <f>HYPERLINK("http://141.218.60.56/~jnz1568/getInfo.php?workbook=11_01.xlsx&amp;sheet=A0&amp;row=271&amp;col=26&amp;number=&amp;sourceID=13","")</f>
        <v/>
      </c>
      <c r="AA271" s="4" t="str">
        <f>HYPERLINK("http://141.218.60.56/~jnz1568/getInfo.php?workbook=11_01.xlsx&amp;sheet=A0&amp;row=271&amp;col=27&amp;number=&amp;sourceID=13","")</f>
        <v/>
      </c>
      <c r="AB271" s="4" t="str">
        <f>HYPERLINK("http://141.218.60.56/~jnz1568/getInfo.php?workbook=11_01.xlsx&amp;sheet=A0&amp;row=271&amp;col=28&amp;number=&amp;sourceID=13","")</f>
        <v/>
      </c>
      <c r="AC271" s="4" t="str">
        <f>HYPERLINK("http://141.218.60.56/~jnz1568/getInfo.php?workbook=11_01.xlsx&amp;sheet=A0&amp;row=271&amp;col=29&amp;number=&amp;sourceID=13","")</f>
        <v/>
      </c>
      <c r="AD271" s="4" t="str">
        <f>HYPERLINK("http://141.218.60.56/~jnz1568/getInfo.php?workbook=11_01.xlsx&amp;sheet=A0&amp;row=271&amp;col=30&amp;number=&amp;sourceID=13","")</f>
        <v/>
      </c>
      <c r="AE271" s="4" t="str">
        <f>HYPERLINK("http://141.218.60.56/~jnz1568/getInfo.php?workbook=11_01.xlsx&amp;sheet=A0&amp;row=271&amp;col=31&amp;number=&amp;sourceID=13","")</f>
        <v/>
      </c>
    </row>
    <row r="272" spans="1:31">
      <c r="A272" s="3">
        <v>11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HYPERLINK("http://141.218.60.56/~jnz1568/getInfo.php?workbook=11_01.xlsx&amp;sheet=A0&amp;row=272&amp;col=6&amp;number=&amp;sourceID=18","")</f>
        <v/>
      </c>
      <c r="G272" s="4" t="str">
        <f>HYPERLINK("http://141.218.60.56/~jnz1568/getInfo.php?workbook=11_01.xlsx&amp;sheet=A0&amp;row=272&amp;col=7&amp;number==&amp;sourceID=11","=")</f>
        <v>=</v>
      </c>
      <c r="H272" s="4" t="str">
        <f>HYPERLINK("http://141.218.60.56/~jnz1568/getInfo.php?workbook=11_01.xlsx&amp;sheet=A0&amp;row=272&amp;col=8&amp;number=&amp;sourceID=11","")</f>
        <v/>
      </c>
      <c r="I272" s="4" t="str">
        <f>HYPERLINK("http://141.218.60.56/~jnz1568/getInfo.php?workbook=11_01.xlsx&amp;sheet=A0&amp;row=272&amp;col=9&amp;number=&amp;sourceID=11","")</f>
        <v/>
      </c>
      <c r="J272" s="4" t="str">
        <f>HYPERLINK("http://141.218.60.56/~jnz1568/getInfo.php?workbook=11_01.xlsx&amp;sheet=A0&amp;row=272&amp;col=10&amp;number=3038.6&amp;sourceID=11","3038.6")</f>
        <v>3038.6</v>
      </c>
      <c r="K272" s="4" t="str">
        <f>HYPERLINK("http://141.218.60.56/~jnz1568/getInfo.php?workbook=11_01.xlsx&amp;sheet=A0&amp;row=272&amp;col=11&amp;number=&amp;sourceID=11","")</f>
        <v/>
      </c>
      <c r="L272" s="4" t="str">
        <f>HYPERLINK("http://141.218.60.56/~jnz1568/getInfo.php?workbook=11_01.xlsx&amp;sheet=A0&amp;row=272&amp;col=12&amp;number=&amp;sourceID=11","")</f>
        <v/>
      </c>
      <c r="M272" s="4" t="str">
        <f>HYPERLINK("http://141.218.60.56/~jnz1568/getInfo.php?workbook=11_01.xlsx&amp;sheet=A0&amp;row=272&amp;col=13&amp;number=&amp;sourceID=11","")</f>
        <v/>
      </c>
      <c r="N272" s="4" t="str">
        <f>HYPERLINK("http://141.218.60.56/~jnz1568/getInfo.php?workbook=11_01.xlsx&amp;sheet=A0&amp;row=272&amp;col=14&amp;number=3038.6&amp;sourceID=12","3038.6")</f>
        <v>3038.6</v>
      </c>
      <c r="O272" s="4" t="str">
        <f>HYPERLINK("http://141.218.60.56/~jnz1568/getInfo.php?workbook=11_01.xlsx&amp;sheet=A0&amp;row=272&amp;col=15&amp;number=&amp;sourceID=12","")</f>
        <v/>
      </c>
      <c r="P272" s="4" t="str">
        <f>HYPERLINK("http://141.218.60.56/~jnz1568/getInfo.php?workbook=11_01.xlsx&amp;sheet=A0&amp;row=272&amp;col=16&amp;number=&amp;sourceID=12","")</f>
        <v/>
      </c>
      <c r="Q272" s="4" t="str">
        <f>HYPERLINK("http://141.218.60.56/~jnz1568/getInfo.php?workbook=11_01.xlsx&amp;sheet=A0&amp;row=272&amp;col=17&amp;number=3038.6&amp;sourceID=12","3038.6")</f>
        <v>3038.6</v>
      </c>
      <c r="R272" s="4" t="str">
        <f>HYPERLINK("http://141.218.60.56/~jnz1568/getInfo.php?workbook=11_01.xlsx&amp;sheet=A0&amp;row=272&amp;col=18&amp;number=&amp;sourceID=12","")</f>
        <v/>
      </c>
      <c r="S272" s="4" t="str">
        <f>HYPERLINK("http://141.218.60.56/~jnz1568/getInfo.php?workbook=11_01.xlsx&amp;sheet=A0&amp;row=272&amp;col=19&amp;number=&amp;sourceID=12","")</f>
        <v/>
      </c>
      <c r="T272" s="4" t="str">
        <f>HYPERLINK("http://141.218.60.56/~jnz1568/getInfo.php?workbook=11_01.xlsx&amp;sheet=A0&amp;row=272&amp;col=20&amp;number=&amp;sourceID=12","")</f>
        <v/>
      </c>
      <c r="U272" s="4" t="str">
        <f>HYPERLINK("http://141.218.60.56/~jnz1568/getInfo.php?workbook=11_01.xlsx&amp;sheet=A0&amp;row=272&amp;col=21&amp;number=&amp;sourceID=30","")</f>
        <v/>
      </c>
      <c r="V272" s="4" t="str">
        <f>HYPERLINK("http://141.218.60.56/~jnz1568/getInfo.php?workbook=11_01.xlsx&amp;sheet=A0&amp;row=272&amp;col=22&amp;number=&amp;sourceID=30","")</f>
        <v/>
      </c>
      <c r="W272" s="4" t="str">
        <f>HYPERLINK("http://141.218.60.56/~jnz1568/getInfo.php?workbook=11_01.xlsx&amp;sheet=A0&amp;row=272&amp;col=23&amp;number=&amp;sourceID=30","")</f>
        <v/>
      </c>
      <c r="X272" s="4" t="str">
        <f>HYPERLINK("http://141.218.60.56/~jnz1568/getInfo.php?workbook=11_01.xlsx&amp;sheet=A0&amp;row=272&amp;col=24&amp;number=&amp;sourceID=30","")</f>
        <v/>
      </c>
      <c r="Y272" s="4" t="str">
        <f>HYPERLINK("http://141.218.60.56/~jnz1568/getInfo.php?workbook=11_01.xlsx&amp;sheet=A0&amp;row=272&amp;col=25&amp;number=&amp;sourceID=30","")</f>
        <v/>
      </c>
      <c r="Z272" s="4" t="str">
        <f>HYPERLINK("http://141.218.60.56/~jnz1568/getInfo.php?workbook=11_01.xlsx&amp;sheet=A0&amp;row=272&amp;col=26&amp;number=&amp;sourceID=13","")</f>
        <v/>
      </c>
      <c r="AA272" s="4" t="str">
        <f>HYPERLINK("http://141.218.60.56/~jnz1568/getInfo.php?workbook=11_01.xlsx&amp;sheet=A0&amp;row=272&amp;col=27&amp;number=&amp;sourceID=13","")</f>
        <v/>
      </c>
      <c r="AB272" s="4" t="str">
        <f>HYPERLINK("http://141.218.60.56/~jnz1568/getInfo.php?workbook=11_01.xlsx&amp;sheet=A0&amp;row=272&amp;col=28&amp;number=&amp;sourceID=13","")</f>
        <v/>
      </c>
      <c r="AC272" s="4" t="str">
        <f>HYPERLINK("http://141.218.60.56/~jnz1568/getInfo.php?workbook=11_01.xlsx&amp;sheet=A0&amp;row=272&amp;col=29&amp;number=&amp;sourceID=13","")</f>
        <v/>
      </c>
      <c r="AD272" s="4" t="str">
        <f>HYPERLINK("http://141.218.60.56/~jnz1568/getInfo.php?workbook=11_01.xlsx&amp;sheet=A0&amp;row=272&amp;col=30&amp;number=&amp;sourceID=13","")</f>
        <v/>
      </c>
      <c r="AE272" s="4" t="str">
        <f>HYPERLINK("http://141.218.60.56/~jnz1568/getInfo.php?workbook=11_01.xlsx&amp;sheet=A0&amp;row=272&amp;col=31&amp;number=&amp;sourceID=13","")</f>
        <v/>
      </c>
    </row>
    <row r="273" spans="1:31">
      <c r="A273" s="3">
        <v>11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HYPERLINK("http://141.218.60.56/~jnz1568/getInfo.php?workbook=11_01.xlsx&amp;sheet=A0&amp;row=273&amp;col=6&amp;number=&amp;sourceID=18","")</f>
        <v/>
      </c>
      <c r="G273" s="4" t="str">
        <f>HYPERLINK("http://141.218.60.56/~jnz1568/getInfo.php?workbook=11_01.xlsx&amp;sheet=A0&amp;row=273&amp;col=7&amp;number==&amp;sourceID=11","=")</f>
        <v>=</v>
      </c>
      <c r="H273" s="4" t="str">
        <f>HYPERLINK("http://141.218.60.56/~jnz1568/getInfo.php?workbook=11_01.xlsx&amp;sheet=A0&amp;row=273&amp;col=8&amp;number=&amp;sourceID=11","")</f>
        <v/>
      </c>
      <c r="I273" s="4" t="str">
        <f>HYPERLINK("http://141.218.60.56/~jnz1568/getInfo.php?workbook=11_01.xlsx&amp;sheet=A0&amp;row=273&amp;col=9&amp;number=20565000&amp;sourceID=11","20565000")</f>
        <v>20565000</v>
      </c>
      <c r="J273" s="4" t="str">
        <f>HYPERLINK("http://141.218.60.56/~jnz1568/getInfo.php?workbook=11_01.xlsx&amp;sheet=A0&amp;row=273&amp;col=10&amp;number=&amp;sourceID=11","")</f>
        <v/>
      </c>
      <c r="K273" s="4" t="str">
        <f>HYPERLINK("http://141.218.60.56/~jnz1568/getInfo.php?workbook=11_01.xlsx&amp;sheet=A0&amp;row=273&amp;col=11&amp;number=&amp;sourceID=11","")</f>
        <v/>
      </c>
      <c r="L273" s="4" t="str">
        <f>HYPERLINK("http://141.218.60.56/~jnz1568/getInfo.php?workbook=11_01.xlsx&amp;sheet=A0&amp;row=273&amp;col=12&amp;number=&amp;sourceID=11","")</f>
        <v/>
      </c>
      <c r="M273" s="4" t="str">
        <f>HYPERLINK("http://141.218.60.56/~jnz1568/getInfo.php?workbook=11_01.xlsx&amp;sheet=A0&amp;row=273&amp;col=13&amp;number=0.30168&amp;sourceID=11","0.30168")</f>
        <v>0.30168</v>
      </c>
      <c r="N273" s="4" t="str">
        <f>HYPERLINK("http://141.218.60.56/~jnz1568/getInfo.php?workbook=11_01.xlsx&amp;sheet=A0&amp;row=273&amp;col=14&amp;number=20566000&amp;sourceID=12","20566000")</f>
        <v>20566000</v>
      </c>
      <c r="O273" s="4" t="str">
        <f>HYPERLINK("http://141.218.60.56/~jnz1568/getInfo.php?workbook=11_01.xlsx&amp;sheet=A0&amp;row=273&amp;col=15&amp;number=&amp;sourceID=12","")</f>
        <v/>
      </c>
      <c r="P273" s="4" t="str">
        <f>HYPERLINK("http://141.218.60.56/~jnz1568/getInfo.php?workbook=11_01.xlsx&amp;sheet=A0&amp;row=273&amp;col=16&amp;number=20566000&amp;sourceID=12","20566000")</f>
        <v>20566000</v>
      </c>
      <c r="Q273" s="4" t="str">
        <f>HYPERLINK("http://141.218.60.56/~jnz1568/getInfo.php?workbook=11_01.xlsx&amp;sheet=A0&amp;row=273&amp;col=17&amp;number=&amp;sourceID=12","")</f>
        <v/>
      </c>
      <c r="R273" s="4" t="str">
        <f>HYPERLINK("http://141.218.60.56/~jnz1568/getInfo.php?workbook=11_01.xlsx&amp;sheet=A0&amp;row=273&amp;col=18&amp;number=&amp;sourceID=12","")</f>
        <v/>
      </c>
      <c r="S273" s="4" t="str">
        <f>HYPERLINK("http://141.218.60.56/~jnz1568/getInfo.php?workbook=11_01.xlsx&amp;sheet=A0&amp;row=273&amp;col=19&amp;number=&amp;sourceID=12","")</f>
        <v/>
      </c>
      <c r="T273" s="4" t="str">
        <f>HYPERLINK("http://141.218.60.56/~jnz1568/getInfo.php?workbook=11_01.xlsx&amp;sheet=A0&amp;row=273&amp;col=20&amp;number=0.30168&amp;sourceID=12","0.30168")</f>
        <v>0.30168</v>
      </c>
      <c r="U273" s="4" t="str">
        <f>HYPERLINK("http://141.218.60.56/~jnz1568/getInfo.php?workbook=11_01.xlsx&amp;sheet=A0&amp;row=273&amp;col=21&amp;number=20570000&amp;sourceID=30","20570000")</f>
        <v>20570000</v>
      </c>
      <c r="V273" s="4" t="str">
        <f>HYPERLINK("http://141.218.60.56/~jnz1568/getInfo.php?workbook=11_01.xlsx&amp;sheet=A0&amp;row=273&amp;col=22&amp;number=&amp;sourceID=30","")</f>
        <v/>
      </c>
      <c r="W273" s="4" t="str">
        <f>HYPERLINK("http://141.218.60.56/~jnz1568/getInfo.php?workbook=11_01.xlsx&amp;sheet=A0&amp;row=273&amp;col=23&amp;number=20570000&amp;sourceID=30","20570000")</f>
        <v>20570000</v>
      </c>
      <c r="X273" s="4" t="str">
        <f>HYPERLINK("http://141.218.60.56/~jnz1568/getInfo.php?workbook=11_01.xlsx&amp;sheet=A0&amp;row=273&amp;col=24&amp;number=&amp;sourceID=30","")</f>
        <v/>
      </c>
      <c r="Y273" s="4" t="str">
        <f>HYPERLINK("http://141.218.60.56/~jnz1568/getInfo.php?workbook=11_01.xlsx&amp;sheet=A0&amp;row=273&amp;col=25&amp;number=&amp;sourceID=30","")</f>
        <v/>
      </c>
      <c r="Z273" s="4" t="str">
        <f>HYPERLINK("http://141.218.60.56/~jnz1568/getInfo.php?workbook=11_01.xlsx&amp;sheet=A0&amp;row=273&amp;col=26&amp;number=&amp;sourceID=13","")</f>
        <v/>
      </c>
      <c r="AA273" s="4" t="str">
        <f>HYPERLINK("http://141.218.60.56/~jnz1568/getInfo.php?workbook=11_01.xlsx&amp;sheet=A0&amp;row=273&amp;col=27&amp;number=&amp;sourceID=13","")</f>
        <v/>
      </c>
      <c r="AB273" s="4" t="str">
        <f>HYPERLINK("http://141.218.60.56/~jnz1568/getInfo.php?workbook=11_01.xlsx&amp;sheet=A0&amp;row=273&amp;col=28&amp;number=&amp;sourceID=13","")</f>
        <v/>
      </c>
      <c r="AC273" s="4" t="str">
        <f>HYPERLINK("http://141.218.60.56/~jnz1568/getInfo.php?workbook=11_01.xlsx&amp;sheet=A0&amp;row=273&amp;col=29&amp;number=&amp;sourceID=13","")</f>
        <v/>
      </c>
      <c r="AD273" s="4" t="str">
        <f>HYPERLINK("http://141.218.60.56/~jnz1568/getInfo.php?workbook=11_01.xlsx&amp;sheet=A0&amp;row=273&amp;col=30&amp;number=&amp;sourceID=13","")</f>
        <v/>
      </c>
      <c r="AE273" s="4" t="str">
        <f>HYPERLINK("http://141.218.60.56/~jnz1568/getInfo.php?workbook=11_01.xlsx&amp;sheet=A0&amp;row=273&amp;col=31&amp;number=&amp;sourceID=13","")</f>
        <v/>
      </c>
    </row>
    <row r="274" spans="1:31">
      <c r="A274" s="3">
        <v>11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HYPERLINK("http://141.218.60.56/~jnz1568/getInfo.php?workbook=11_01.xlsx&amp;sheet=A0&amp;row=274&amp;col=6&amp;number=&amp;sourceID=18","")</f>
        <v/>
      </c>
      <c r="G274" s="4" t="str">
        <f>HYPERLINK("http://141.218.60.56/~jnz1568/getInfo.php?workbook=11_01.xlsx&amp;sheet=A0&amp;row=274&amp;col=7&amp;number==&amp;sourceID=11","=")</f>
        <v>=</v>
      </c>
      <c r="H274" s="4" t="str">
        <f>HYPERLINK("http://141.218.60.56/~jnz1568/getInfo.php?workbook=11_01.xlsx&amp;sheet=A0&amp;row=274&amp;col=8&amp;number=&amp;sourceID=11","")</f>
        <v/>
      </c>
      <c r="I274" s="4" t="str">
        <f>HYPERLINK("http://141.218.60.56/~jnz1568/getInfo.php?workbook=11_01.xlsx&amp;sheet=A0&amp;row=274&amp;col=9&amp;number=&amp;sourceID=11","")</f>
        <v/>
      </c>
      <c r="J274" s="4" t="str">
        <f>HYPERLINK("http://141.218.60.56/~jnz1568/getInfo.php?workbook=11_01.xlsx&amp;sheet=A0&amp;row=274&amp;col=10&amp;number=&amp;sourceID=11","")</f>
        <v/>
      </c>
      <c r="K274" s="4" t="str">
        <f>HYPERLINK("http://141.218.60.56/~jnz1568/getInfo.php?workbook=11_01.xlsx&amp;sheet=A0&amp;row=274&amp;col=11&amp;number=&amp;sourceID=11","")</f>
        <v/>
      </c>
      <c r="L274" s="4" t="str">
        <f>HYPERLINK("http://141.218.60.56/~jnz1568/getInfo.php?workbook=11_01.xlsx&amp;sheet=A0&amp;row=274&amp;col=12&amp;number=&amp;sourceID=11","")</f>
        <v/>
      </c>
      <c r="M274" s="4" t="str">
        <f>HYPERLINK("http://141.218.60.56/~jnz1568/getInfo.php?workbook=11_01.xlsx&amp;sheet=A0&amp;row=274&amp;col=13&amp;number=0.00080289&amp;sourceID=11","0.00080289")</f>
        <v>0.00080289</v>
      </c>
      <c r="N274" s="4" t="str">
        <f>HYPERLINK("http://141.218.60.56/~jnz1568/getInfo.php?workbook=11_01.xlsx&amp;sheet=A0&amp;row=274&amp;col=14&amp;number=0.00080291&amp;sourceID=12","0.00080291")</f>
        <v>0.00080291</v>
      </c>
      <c r="O274" s="4" t="str">
        <f>HYPERLINK("http://141.218.60.56/~jnz1568/getInfo.php?workbook=11_01.xlsx&amp;sheet=A0&amp;row=274&amp;col=15&amp;number=&amp;sourceID=12","")</f>
        <v/>
      </c>
      <c r="P274" s="4" t="str">
        <f>HYPERLINK("http://141.218.60.56/~jnz1568/getInfo.php?workbook=11_01.xlsx&amp;sheet=A0&amp;row=274&amp;col=16&amp;number=&amp;sourceID=12","")</f>
        <v/>
      </c>
      <c r="Q274" s="4" t="str">
        <f>HYPERLINK("http://141.218.60.56/~jnz1568/getInfo.php?workbook=11_01.xlsx&amp;sheet=A0&amp;row=274&amp;col=17&amp;number=&amp;sourceID=12","")</f>
        <v/>
      </c>
      <c r="R274" s="4" t="str">
        <f>HYPERLINK("http://141.218.60.56/~jnz1568/getInfo.php?workbook=11_01.xlsx&amp;sheet=A0&amp;row=274&amp;col=18&amp;number=&amp;sourceID=12","")</f>
        <v/>
      </c>
      <c r="S274" s="4" t="str">
        <f>HYPERLINK("http://141.218.60.56/~jnz1568/getInfo.php?workbook=11_01.xlsx&amp;sheet=A0&amp;row=274&amp;col=19&amp;number=&amp;sourceID=12","")</f>
        <v/>
      </c>
      <c r="T274" s="4" t="str">
        <f>HYPERLINK("http://141.218.60.56/~jnz1568/getInfo.php?workbook=11_01.xlsx&amp;sheet=A0&amp;row=274&amp;col=20&amp;number=0.00080291&amp;sourceID=12","0.00080291")</f>
        <v>0.00080291</v>
      </c>
      <c r="U274" s="4" t="str">
        <f>HYPERLINK("http://141.218.60.56/~jnz1568/getInfo.php?workbook=11_01.xlsx&amp;sheet=A0&amp;row=274&amp;col=21&amp;number=&amp;sourceID=30","")</f>
        <v/>
      </c>
      <c r="V274" s="4" t="str">
        <f>HYPERLINK("http://141.218.60.56/~jnz1568/getInfo.php?workbook=11_01.xlsx&amp;sheet=A0&amp;row=274&amp;col=22&amp;number=&amp;sourceID=30","")</f>
        <v/>
      </c>
      <c r="W274" s="4" t="str">
        <f>HYPERLINK("http://141.218.60.56/~jnz1568/getInfo.php?workbook=11_01.xlsx&amp;sheet=A0&amp;row=274&amp;col=23&amp;number=&amp;sourceID=30","")</f>
        <v/>
      </c>
      <c r="X274" s="4" t="str">
        <f>HYPERLINK("http://141.218.60.56/~jnz1568/getInfo.php?workbook=11_01.xlsx&amp;sheet=A0&amp;row=274&amp;col=24&amp;number=&amp;sourceID=30","")</f>
        <v/>
      </c>
      <c r="Y274" s="4" t="str">
        <f>HYPERLINK("http://141.218.60.56/~jnz1568/getInfo.php?workbook=11_01.xlsx&amp;sheet=A0&amp;row=274&amp;col=25&amp;number=&amp;sourceID=30","")</f>
        <v/>
      </c>
      <c r="Z274" s="4" t="str">
        <f>HYPERLINK("http://141.218.60.56/~jnz1568/getInfo.php?workbook=11_01.xlsx&amp;sheet=A0&amp;row=274&amp;col=26&amp;number=&amp;sourceID=13","")</f>
        <v/>
      </c>
      <c r="AA274" s="4" t="str">
        <f>HYPERLINK("http://141.218.60.56/~jnz1568/getInfo.php?workbook=11_01.xlsx&amp;sheet=A0&amp;row=274&amp;col=27&amp;number=&amp;sourceID=13","")</f>
        <v/>
      </c>
      <c r="AB274" s="4" t="str">
        <f>HYPERLINK("http://141.218.60.56/~jnz1568/getInfo.php?workbook=11_01.xlsx&amp;sheet=A0&amp;row=274&amp;col=28&amp;number=&amp;sourceID=13","")</f>
        <v/>
      </c>
      <c r="AC274" s="4" t="str">
        <f>HYPERLINK("http://141.218.60.56/~jnz1568/getInfo.php?workbook=11_01.xlsx&amp;sheet=A0&amp;row=274&amp;col=29&amp;number=&amp;sourceID=13","")</f>
        <v/>
      </c>
      <c r="AD274" s="4" t="str">
        <f>HYPERLINK("http://141.218.60.56/~jnz1568/getInfo.php?workbook=11_01.xlsx&amp;sheet=A0&amp;row=274&amp;col=30&amp;number=&amp;sourceID=13","")</f>
        <v/>
      </c>
      <c r="AE274" s="4" t="str">
        <f>HYPERLINK("http://141.218.60.56/~jnz1568/getInfo.php?workbook=11_01.xlsx&amp;sheet=A0&amp;row=274&amp;col=31&amp;number=&amp;sourceID=13","")</f>
        <v/>
      </c>
    </row>
    <row r="275" spans="1:31">
      <c r="A275" s="3">
        <v>11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HYPERLINK("http://141.218.60.56/~jnz1568/getInfo.php?workbook=11_01.xlsx&amp;sheet=A0&amp;row=275&amp;col=6&amp;number=&amp;sourceID=18","")</f>
        <v/>
      </c>
      <c r="G275" s="4" t="str">
        <f>HYPERLINK("http://141.218.60.56/~jnz1568/getInfo.php?workbook=11_01.xlsx&amp;sheet=A0&amp;row=275&amp;col=7&amp;number==&amp;sourceID=11","=")</f>
        <v>=</v>
      </c>
      <c r="H275" s="4" t="str">
        <f>HYPERLINK("http://141.218.60.56/~jnz1568/getInfo.php?workbook=11_01.xlsx&amp;sheet=A0&amp;row=275&amp;col=8&amp;number=&amp;sourceID=11","")</f>
        <v/>
      </c>
      <c r="I275" s="4" t="str">
        <f>HYPERLINK("http://141.218.60.56/~jnz1568/getInfo.php?workbook=11_01.xlsx&amp;sheet=A0&amp;row=275&amp;col=9&amp;number=&amp;sourceID=11","")</f>
        <v/>
      </c>
      <c r="J275" s="4" t="str">
        <f>HYPERLINK("http://141.218.60.56/~jnz1568/getInfo.php?workbook=11_01.xlsx&amp;sheet=A0&amp;row=275&amp;col=10&amp;number=28.138&amp;sourceID=11","28.138")</f>
        <v>28.138</v>
      </c>
      <c r="K275" s="4" t="str">
        <f>HYPERLINK("http://141.218.60.56/~jnz1568/getInfo.php?workbook=11_01.xlsx&amp;sheet=A0&amp;row=275&amp;col=11&amp;number=&amp;sourceID=11","")</f>
        <v/>
      </c>
      <c r="L275" s="4" t="str">
        <f>HYPERLINK("http://141.218.60.56/~jnz1568/getInfo.php?workbook=11_01.xlsx&amp;sheet=A0&amp;row=275&amp;col=12&amp;number=&amp;sourceID=11","")</f>
        <v/>
      </c>
      <c r="M275" s="4" t="str">
        <f>HYPERLINK("http://141.218.60.56/~jnz1568/getInfo.php?workbook=11_01.xlsx&amp;sheet=A0&amp;row=275&amp;col=13&amp;number=&amp;sourceID=11","")</f>
        <v/>
      </c>
      <c r="N275" s="4" t="str">
        <f>HYPERLINK("http://141.218.60.56/~jnz1568/getInfo.php?workbook=11_01.xlsx&amp;sheet=A0&amp;row=275&amp;col=14&amp;number=28.139&amp;sourceID=12","28.139")</f>
        <v>28.139</v>
      </c>
      <c r="O275" s="4" t="str">
        <f>HYPERLINK("http://141.218.60.56/~jnz1568/getInfo.php?workbook=11_01.xlsx&amp;sheet=A0&amp;row=275&amp;col=15&amp;number=&amp;sourceID=12","")</f>
        <v/>
      </c>
      <c r="P275" s="4" t="str">
        <f>HYPERLINK("http://141.218.60.56/~jnz1568/getInfo.php?workbook=11_01.xlsx&amp;sheet=A0&amp;row=275&amp;col=16&amp;number=&amp;sourceID=12","")</f>
        <v/>
      </c>
      <c r="Q275" s="4" t="str">
        <f>HYPERLINK("http://141.218.60.56/~jnz1568/getInfo.php?workbook=11_01.xlsx&amp;sheet=A0&amp;row=275&amp;col=17&amp;number=28.139&amp;sourceID=12","28.139")</f>
        <v>28.139</v>
      </c>
      <c r="R275" s="4" t="str">
        <f>HYPERLINK("http://141.218.60.56/~jnz1568/getInfo.php?workbook=11_01.xlsx&amp;sheet=A0&amp;row=275&amp;col=18&amp;number=&amp;sourceID=12","")</f>
        <v/>
      </c>
      <c r="S275" s="4" t="str">
        <f>HYPERLINK("http://141.218.60.56/~jnz1568/getInfo.php?workbook=11_01.xlsx&amp;sheet=A0&amp;row=275&amp;col=19&amp;number=&amp;sourceID=12","")</f>
        <v/>
      </c>
      <c r="T275" s="4" t="str">
        <f>HYPERLINK("http://141.218.60.56/~jnz1568/getInfo.php?workbook=11_01.xlsx&amp;sheet=A0&amp;row=275&amp;col=20&amp;number=&amp;sourceID=12","")</f>
        <v/>
      </c>
      <c r="U275" s="4" t="str">
        <f>HYPERLINK("http://141.218.60.56/~jnz1568/getInfo.php?workbook=11_01.xlsx&amp;sheet=A0&amp;row=275&amp;col=21&amp;number=&amp;sourceID=30","")</f>
        <v/>
      </c>
      <c r="V275" s="4" t="str">
        <f>HYPERLINK("http://141.218.60.56/~jnz1568/getInfo.php?workbook=11_01.xlsx&amp;sheet=A0&amp;row=275&amp;col=22&amp;number=&amp;sourceID=30","")</f>
        <v/>
      </c>
      <c r="W275" s="4" t="str">
        <f>HYPERLINK("http://141.218.60.56/~jnz1568/getInfo.php?workbook=11_01.xlsx&amp;sheet=A0&amp;row=275&amp;col=23&amp;number=&amp;sourceID=30","")</f>
        <v/>
      </c>
      <c r="X275" s="4" t="str">
        <f>HYPERLINK("http://141.218.60.56/~jnz1568/getInfo.php?workbook=11_01.xlsx&amp;sheet=A0&amp;row=275&amp;col=24&amp;number=&amp;sourceID=30","")</f>
        <v/>
      </c>
      <c r="Y275" s="4" t="str">
        <f>HYPERLINK("http://141.218.60.56/~jnz1568/getInfo.php?workbook=11_01.xlsx&amp;sheet=A0&amp;row=275&amp;col=25&amp;number=&amp;sourceID=30","")</f>
        <v/>
      </c>
      <c r="Z275" s="4" t="str">
        <f>HYPERLINK("http://141.218.60.56/~jnz1568/getInfo.php?workbook=11_01.xlsx&amp;sheet=A0&amp;row=275&amp;col=26&amp;number=&amp;sourceID=13","")</f>
        <v/>
      </c>
      <c r="AA275" s="4" t="str">
        <f>HYPERLINK("http://141.218.60.56/~jnz1568/getInfo.php?workbook=11_01.xlsx&amp;sheet=A0&amp;row=275&amp;col=27&amp;number=&amp;sourceID=13","")</f>
        <v/>
      </c>
      <c r="AB275" s="4" t="str">
        <f>HYPERLINK("http://141.218.60.56/~jnz1568/getInfo.php?workbook=11_01.xlsx&amp;sheet=A0&amp;row=275&amp;col=28&amp;number=&amp;sourceID=13","")</f>
        <v/>
      </c>
      <c r="AC275" s="4" t="str">
        <f>HYPERLINK("http://141.218.60.56/~jnz1568/getInfo.php?workbook=11_01.xlsx&amp;sheet=A0&amp;row=275&amp;col=29&amp;number=&amp;sourceID=13","")</f>
        <v/>
      </c>
      <c r="AD275" s="4" t="str">
        <f>HYPERLINK("http://141.218.60.56/~jnz1568/getInfo.php?workbook=11_01.xlsx&amp;sheet=A0&amp;row=275&amp;col=30&amp;number=&amp;sourceID=13","")</f>
        <v/>
      </c>
      <c r="AE275" s="4" t="str">
        <f>HYPERLINK("http://141.218.60.56/~jnz1568/getInfo.php?workbook=11_01.xlsx&amp;sheet=A0&amp;row=275&amp;col=31&amp;number=&amp;sourceID=13","")</f>
        <v/>
      </c>
    </row>
    <row r="276" spans="1:31">
      <c r="A276" s="3">
        <v>11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HYPERLINK("http://141.218.60.56/~jnz1568/getInfo.php?workbook=11_01.xlsx&amp;sheet=A0&amp;row=276&amp;col=6&amp;number=&amp;sourceID=18","")</f>
        <v/>
      </c>
      <c r="G276" s="4" t="str">
        <f>HYPERLINK("http://141.218.60.56/~jnz1568/getInfo.php?workbook=11_01.xlsx&amp;sheet=A0&amp;row=276&amp;col=7&amp;number==&amp;sourceID=11","=")</f>
        <v>=</v>
      </c>
      <c r="H276" s="4" t="str">
        <f>HYPERLINK("http://141.218.60.56/~jnz1568/getInfo.php?workbook=11_01.xlsx&amp;sheet=A0&amp;row=276&amp;col=8&amp;number=&amp;sourceID=11","")</f>
        <v/>
      </c>
      <c r="I276" s="4" t="str">
        <f>HYPERLINK("http://141.218.60.56/~jnz1568/getInfo.php?workbook=11_01.xlsx&amp;sheet=A0&amp;row=276&amp;col=9&amp;number=&amp;sourceID=11","")</f>
        <v/>
      </c>
      <c r="J276" s="4" t="str">
        <f>HYPERLINK("http://141.218.60.56/~jnz1568/getInfo.php?workbook=11_01.xlsx&amp;sheet=A0&amp;row=276&amp;col=10&amp;number=1.3091&amp;sourceID=11","1.3091")</f>
        <v>1.3091</v>
      </c>
      <c r="K276" s="4" t="str">
        <f>HYPERLINK("http://141.218.60.56/~jnz1568/getInfo.php?workbook=11_01.xlsx&amp;sheet=A0&amp;row=276&amp;col=11&amp;number=&amp;sourceID=11","")</f>
        <v/>
      </c>
      <c r="L276" s="4" t="str">
        <f>HYPERLINK("http://141.218.60.56/~jnz1568/getInfo.php?workbook=11_01.xlsx&amp;sheet=A0&amp;row=276&amp;col=12&amp;number=18.738&amp;sourceID=11","18.738")</f>
        <v>18.738</v>
      </c>
      <c r="M276" s="4" t="str">
        <f>HYPERLINK("http://141.218.60.56/~jnz1568/getInfo.php?workbook=11_01.xlsx&amp;sheet=A0&amp;row=276&amp;col=13&amp;number=&amp;sourceID=11","")</f>
        <v/>
      </c>
      <c r="N276" s="4" t="str">
        <f>HYPERLINK("http://141.218.60.56/~jnz1568/getInfo.php?workbook=11_01.xlsx&amp;sheet=A0&amp;row=276&amp;col=14&amp;number=20.048&amp;sourceID=12","20.048")</f>
        <v>20.048</v>
      </c>
      <c r="O276" s="4" t="str">
        <f>HYPERLINK("http://141.218.60.56/~jnz1568/getInfo.php?workbook=11_01.xlsx&amp;sheet=A0&amp;row=276&amp;col=15&amp;number=&amp;sourceID=12","")</f>
        <v/>
      </c>
      <c r="P276" s="4" t="str">
        <f>HYPERLINK("http://141.218.60.56/~jnz1568/getInfo.php?workbook=11_01.xlsx&amp;sheet=A0&amp;row=276&amp;col=16&amp;number=&amp;sourceID=12","")</f>
        <v/>
      </c>
      <c r="Q276" s="4" t="str">
        <f>HYPERLINK("http://141.218.60.56/~jnz1568/getInfo.php?workbook=11_01.xlsx&amp;sheet=A0&amp;row=276&amp;col=17&amp;number=1.3091&amp;sourceID=12","1.3091")</f>
        <v>1.3091</v>
      </c>
      <c r="R276" s="4" t="str">
        <f>HYPERLINK("http://141.218.60.56/~jnz1568/getInfo.php?workbook=11_01.xlsx&amp;sheet=A0&amp;row=276&amp;col=18&amp;number=&amp;sourceID=12","")</f>
        <v/>
      </c>
      <c r="S276" s="4" t="str">
        <f>HYPERLINK("http://141.218.60.56/~jnz1568/getInfo.php?workbook=11_01.xlsx&amp;sheet=A0&amp;row=276&amp;col=19&amp;number=18.739&amp;sourceID=12","18.739")</f>
        <v>18.739</v>
      </c>
      <c r="T276" s="4" t="str">
        <f>HYPERLINK("http://141.218.60.56/~jnz1568/getInfo.php?workbook=11_01.xlsx&amp;sheet=A0&amp;row=276&amp;col=20&amp;number=&amp;sourceID=12","")</f>
        <v/>
      </c>
      <c r="U276" s="4" t="str">
        <f>HYPERLINK("http://141.218.60.56/~jnz1568/getInfo.php?workbook=11_01.xlsx&amp;sheet=A0&amp;row=276&amp;col=21&amp;number=18.74&amp;sourceID=30","18.74")</f>
        <v>18.74</v>
      </c>
      <c r="V276" s="4" t="str">
        <f>HYPERLINK("http://141.218.60.56/~jnz1568/getInfo.php?workbook=11_01.xlsx&amp;sheet=A0&amp;row=276&amp;col=22&amp;number=&amp;sourceID=30","")</f>
        <v/>
      </c>
      <c r="W276" s="4" t="str">
        <f>HYPERLINK("http://141.218.60.56/~jnz1568/getInfo.php?workbook=11_01.xlsx&amp;sheet=A0&amp;row=276&amp;col=23&amp;number=&amp;sourceID=30","")</f>
        <v/>
      </c>
      <c r="X276" s="4" t="str">
        <f>HYPERLINK("http://141.218.60.56/~jnz1568/getInfo.php?workbook=11_01.xlsx&amp;sheet=A0&amp;row=276&amp;col=24&amp;number=&amp;sourceID=30","")</f>
        <v/>
      </c>
      <c r="Y276" s="4" t="str">
        <f>HYPERLINK("http://141.218.60.56/~jnz1568/getInfo.php?workbook=11_01.xlsx&amp;sheet=A0&amp;row=276&amp;col=25&amp;number=18.74&amp;sourceID=30","18.74")</f>
        <v>18.74</v>
      </c>
      <c r="Z276" s="4" t="str">
        <f>HYPERLINK("http://141.218.60.56/~jnz1568/getInfo.php?workbook=11_01.xlsx&amp;sheet=A0&amp;row=276&amp;col=26&amp;number=&amp;sourceID=13","")</f>
        <v/>
      </c>
      <c r="AA276" s="4" t="str">
        <f>HYPERLINK("http://141.218.60.56/~jnz1568/getInfo.php?workbook=11_01.xlsx&amp;sheet=A0&amp;row=276&amp;col=27&amp;number=&amp;sourceID=13","")</f>
        <v/>
      </c>
      <c r="AB276" s="4" t="str">
        <f>HYPERLINK("http://141.218.60.56/~jnz1568/getInfo.php?workbook=11_01.xlsx&amp;sheet=A0&amp;row=276&amp;col=28&amp;number=&amp;sourceID=13","")</f>
        <v/>
      </c>
      <c r="AC276" s="4" t="str">
        <f>HYPERLINK("http://141.218.60.56/~jnz1568/getInfo.php?workbook=11_01.xlsx&amp;sheet=A0&amp;row=276&amp;col=29&amp;number=&amp;sourceID=13","")</f>
        <v/>
      </c>
      <c r="AD276" s="4" t="str">
        <f>HYPERLINK("http://141.218.60.56/~jnz1568/getInfo.php?workbook=11_01.xlsx&amp;sheet=A0&amp;row=276&amp;col=30&amp;number=&amp;sourceID=13","")</f>
        <v/>
      </c>
      <c r="AE276" s="4" t="str">
        <f>HYPERLINK("http://141.218.60.56/~jnz1568/getInfo.php?workbook=11_01.xlsx&amp;sheet=A0&amp;row=276&amp;col=31&amp;number=&amp;sourceID=13","")</f>
        <v/>
      </c>
    </row>
    <row r="277" spans="1:31">
      <c r="A277" s="3">
        <v>11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HYPERLINK("http://141.218.60.56/~jnz1568/getInfo.php?workbook=11_01.xlsx&amp;sheet=A0&amp;row=277&amp;col=6&amp;number=&amp;sourceID=18","")</f>
        <v/>
      </c>
      <c r="G277" s="4" t="str">
        <f>HYPERLINK("http://141.218.60.56/~jnz1568/getInfo.php?workbook=11_01.xlsx&amp;sheet=A0&amp;row=277&amp;col=7&amp;number==&amp;sourceID=11","=")</f>
        <v>=</v>
      </c>
      <c r="H277" s="4" t="str">
        <f>HYPERLINK("http://141.218.60.56/~jnz1568/getInfo.php?workbook=11_01.xlsx&amp;sheet=A0&amp;row=277&amp;col=8&amp;number=&amp;sourceID=11","")</f>
        <v/>
      </c>
      <c r="I277" s="4" t="str">
        <f>HYPERLINK("http://141.218.60.56/~jnz1568/getInfo.php?workbook=11_01.xlsx&amp;sheet=A0&amp;row=277&amp;col=9&amp;number=1773300&amp;sourceID=11","1773300")</f>
        <v>1773300</v>
      </c>
      <c r="J277" s="4" t="str">
        <f>HYPERLINK("http://141.218.60.56/~jnz1568/getInfo.php?workbook=11_01.xlsx&amp;sheet=A0&amp;row=277&amp;col=10&amp;number=&amp;sourceID=11","")</f>
        <v/>
      </c>
      <c r="K277" s="4" t="str">
        <f>HYPERLINK("http://141.218.60.56/~jnz1568/getInfo.php?workbook=11_01.xlsx&amp;sheet=A0&amp;row=277&amp;col=11&amp;number=&amp;sourceID=11","")</f>
        <v/>
      </c>
      <c r="L277" s="4" t="str">
        <f>HYPERLINK("http://141.218.60.56/~jnz1568/getInfo.php?workbook=11_01.xlsx&amp;sheet=A0&amp;row=277&amp;col=12&amp;number=&amp;sourceID=11","")</f>
        <v/>
      </c>
      <c r="M277" s="4" t="str">
        <f>HYPERLINK("http://141.218.60.56/~jnz1568/getInfo.php?workbook=11_01.xlsx&amp;sheet=A0&amp;row=277&amp;col=13&amp;number=0.0026058&amp;sourceID=11","0.0026058")</f>
        <v>0.0026058</v>
      </c>
      <c r="N277" s="4" t="str">
        <f>HYPERLINK("http://141.218.60.56/~jnz1568/getInfo.php?workbook=11_01.xlsx&amp;sheet=A0&amp;row=277&amp;col=14&amp;number=1773400&amp;sourceID=12","1773400")</f>
        <v>1773400</v>
      </c>
      <c r="O277" s="4" t="str">
        <f>HYPERLINK("http://141.218.60.56/~jnz1568/getInfo.php?workbook=11_01.xlsx&amp;sheet=A0&amp;row=277&amp;col=15&amp;number=&amp;sourceID=12","")</f>
        <v/>
      </c>
      <c r="P277" s="4" t="str">
        <f>HYPERLINK("http://141.218.60.56/~jnz1568/getInfo.php?workbook=11_01.xlsx&amp;sheet=A0&amp;row=277&amp;col=16&amp;number=1773400&amp;sourceID=12","1773400")</f>
        <v>1773400</v>
      </c>
      <c r="Q277" s="4" t="str">
        <f>HYPERLINK("http://141.218.60.56/~jnz1568/getInfo.php?workbook=11_01.xlsx&amp;sheet=A0&amp;row=277&amp;col=17&amp;number=&amp;sourceID=12","")</f>
        <v/>
      </c>
      <c r="R277" s="4" t="str">
        <f>HYPERLINK("http://141.218.60.56/~jnz1568/getInfo.php?workbook=11_01.xlsx&amp;sheet=A0&amp;row=277&amp;col=18&amp;number=&amp;sourceID=12","")</f>
        <v/>
      </c>
      <c r="S277" s="4" t="str">
        <f>HYPERLINK("http://141.218.60.56/~jnz1568/getInfo.php?workbook=11_01.xlsx&amp;sheet=A0&amp;row=277&amp;col=19&amp;number=&amp;sourceID=12","")</f>
        <v/>
      </c>
      <c r="T277" s="4" t="str">
        <f>HYPERLINK("http://141.218.60.56/~jnz1568/getInfo.php?workbook=11_01.xlsx&amp;sheet=A0&amp;row=277&amp;col=20&amp;number=0.0026058&amp;sourceID=12","0.0026058")</f>
        <v>0.0026058</v>
      </c>
      <c r="U277" s="4" t="str">
        <f>HYPERLINK("http://141.218.60.56/~jnz1568/getInfo.php?workbook=11_01.xlsx&amp;sheet=A0&amp;row=277&amp;col=21&amp;number=1773000&amp;sourceID=30","1773000")</f>
        <v>1773000</v>
      </c>
      <c r="V277" s="4" t="str">
        <f>HYPERLINK("http://141.218.60.56/~jnz1568/getInfo.php?workbook=11_01.xlsx&amp;sheet=A0&amp;row=277&amp;col=22&amp;number=&amp;sourceID=30","")</f>
        <v/>
      </c>
      <c r="W277" s="4" t="str">
        <f>HYPERLINK("http://141.218.60.56/~jnz1568/getInfo.php?workbook=11_01.xlsx&amp;sheet=A0&amp;row=277&amp;col=23&amp;number=1773000&amp;sourceID=30","1773000")</f>
        <v>1773000</v>
      </c>
      <c r="X277" s="4" t="str">
        <f>HYPERLINK("http://141.218.60.56/~jnz1568/getInfo.php?workbook=11_01.xlsx&amp;sheet=A0&amp;row=277&amp;col=24&amp;number=&amp;sourceID=30","")</f>
        <v/>
      </c>
      <c r="Y277" s="4" t="str">
        <f>HYPERLINK("http://141.218.60.56/~jnz1568/getInfo.php?workbook=11_01.xlsx&amp;sheet=A0&amp;row=277&amp;col=25&amp;number=&amp;sourceID=30","")</f>
        <v/>
      </c>
      <c r="Z277" s="4" t="str">
        <f>HYPERLINK("http://141.218.60.56/~jnz1568/getInfo.php?workbook=11_01.xlsx&amp;sheet=A0&amp;row=277&amp;col=26&amp;number=&amp;sourceID=13","")</f>
        <v/>
      </c>
      <c r="AA277" s="4" t="str">
        <f>HYPERLINK("http://141.218.60.56/~jnz1568/getInfo.php?workbook=11_01.xlsx&amp;sheet=A0&amp;row=277&amp;col=27&amp;number=&amp;sourceID=13","")</f>
        <v/>
      </c>
      <c r="AB277" s="4" t="str">
        <f>HYPERLINK("http://141.218.60.56/~jnz1568/getInfo.php?workbook=11_01.xlsx&amp;sheet=A0&amp;row=277&amp;col=28&amp;number=&amp;sourceID=13","")</f>
        <v/>
      </c>
      <c r="AC277" s="4" t="str">
        <f>HYPERLINK("http://141.218.60.56/~jnz1568/getInfo.php?workbook=11_01.xlsx&amp;sheet=A0&amp;row=277&amp;col=29&amp;number=&amp;sourceID=13","")</f>
        <v/>
      </c>
      <c r="AD277" s="4" t="str">
        <f>HYPERLINK("http://141.218.60.56/~jnz1568/getInfo.php?workbook=11_01.xlsx&amp;sheet=A0&amp;row=277&amp;col=30&amp;number=&amp;sourceID=13","")</f>
        <v/>
      </c>
      <c r="AE277" s="4" t="str">
        <f>HYPERLINK("http://141.218.60.56/~jnz1568/getInfo.php?workbook=11_01.xlsx&amp;sheet=A0&amp;row=277&amp;col=31&amp;number=&amp;sourceID=13","")</f>
        <v/>
      </c>
    </row>
    <row r="278" spans="1:31">
      <c r="A278" s="3">
        <v>11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HYPERLINK("http://141.218.60.56/~jnz1568/getInfo.php?workbook=11_01.xlsx&amp;sheet=A0&amp;row=278&amp;col=6&amp;number=&amp;sourceID=18","")</f>
        <v/>
      </c>
      <c r="G278" s="4" t="str">
        <f>HYPERLINK("http://141.218.60.56/~jnz1568/getInfo.php?workbook=11_01.xlsx&amp;sheet=A0&amp;row=278&amp;col=7&amp;number==&amp;sourceID=11","=")</f>
        <v>=</v>
      </c>
      <c r="H278" s="4" t="str">
        <f>HYPERLINK("http://141.218.60.56/~jnz1568/getInfo.php?workbook=11_01.xlsx&amp;sheet=A0&amp;row=278&amp;col=8&amp;number=62316000000&amp;sourceID=11","62316000000")</f>
        <v>62316000000</v>
      </c>
      <c r="I278" s="4" t="str">
        <f>HYPERLINK("http://141.218.60.56/~jnz1568/getInfo.php?workbook=11_01.xlsx&amp;sheet=A0&amp;row=278&amp;col=9&amp;number=&amp;sourceID=11","")</f>
        <v/>
      </c>
      <c r="J278" s="4" t="str">
        <f>HYPERLINK("http://141.218.60.56/~jnz1568/getInfo.php?workbook=11_01.xlsx&amp;sheet=A0&amp;row=278&amp;col=10&amp;number=7.8426&amp;sourceID=11","7.8426")</f>
        <v>7.8426</v>
      </c>
      <c r="K278" s="4" t="str">
        <f>HYPERLINK("http://141.218.60.56/~jnz1568/getInfo.php?workbook=11_01.xlsx&amp;sheet=A0&amp;row=278&amp;col=11&amp;number=&amp;sourceID=11","")</f>
        <v/>
      </c>
      <c r="L278" s="4" t="str">
        <f>HYPERLINK("http://141.218.60.56/~jnz1568/getInfo.php?workbook=11_01.xlsx&amp;sheet=A0&amp;row=278&amp;col=12&amp;number=173.69&amp;sourceID=11","173.69")</f>
        <v>173.69</v>
      </c>
      <c r="M278" s="4" t="str">
        <f>HYPERLINK("http://141.218.60.56/~jnz1568/getInfo.php?workbook=11_01.xlsx&amp;sheet=A0&amp;row=278&amp;col=13&amp;number=&amp;sourceID=11","")</f>
        <v/>
      </c>
      <c r="N278" s="4" t="str">
        <f>HYPERLINK("http://141.218.60.56/~jnz1568/getInfo.php?workbook=11_01.xlsx&amp;sheet=A0&amp;row=278&amp;col=14&amp;number=62317000000&amp;sourceID=12","62317000000")</f>
        <v>62317000000</v>
      </c>
      <c r="O278" s="4" t="str">
        <f>HYPERLINK("http://141.218.60.56/~jnz1568/getInfo.php?workbook=11_01.xlsx&amp;sheet=A0&amp;row=278&amp;col=15&amp;number=62317000000&amp;sourceID=12","62317000000")</f>
        <v>62317000000</v>
      </c>
      <c r="P278" s="4" t="str">
        <f>HYPERLINK("http://141.218.60.56/~jnz1568/getInfo.php?workbook=11_01.xlsx&amp;sheet=A0&amp;row=278&amp;col=16&amp;number=&amp;sourceID=12","")</f>
        <v/>
      </c>
      <c r="Q278" s="4" t="str">
        <f>HYPERLINK("http://141.218.60.56/~jnz1568/getInfo.php?workbook=11_01.xlsx&amp;sheet=A0&amp;row=278&amp;col=17&amp;number=7.8428&amp;sourceID=12","7.8428")</f>
        <v>7.8428</v>
      </c>
      <c r="R278" s="4" t="str">
        <f>HYPERLINK("http://141.218.60.56/~jnz1568/getInfo.php?workbook=11_01.xlsx&amp;sheet=A0&amp;row=278&amp;col=18&amp;number=&amp;sourceID=12","")</f>
        <v/>
      </c>
      <c r="S278" s="4" t="str">
        <f>HYPERLINK("http://141.218.60.56/~jnz1568/getInfo.php?workbook=11_01.xlsx&amp;sheet=A0&amp;row=278&amp;col=19&amp;number=173.69&amp;sourceID=12","173.69")</f>
        <v>173.69</v>
      </c>
      <c r="T278" s="4" t="str">
        <f>HYPERLINK("http://141.218.60.56/~jnz1568/getInfo.php?workbook=11_01.xlsx&amp;sheet=A0&amp;row=278&amp;col=20&amp;number=&amp;sourceID=12","")</f>
        <v/>
      </c>
      <c r="U278" s="4" t="str">
        <f>HYPERLINK("http://141.218.60.56/~jnz1568/getInfo.php?workbook=11_01.xlsx&amp;sheet=A0&amp;row=278&amp;col=21&amp;number=62320000173.7&amp;sourceID=30","62320000173.7")</f>
        <v>62320000173.7</v>
      </c>
      <c r="V278" s="4" t="str">
        <f>HYPERLINK("http://141.218.60.56/~jnz1568/getInfo.php?workbook=11_01.xlsx&amp;sheet=A0&amp;row=278&amp;col=22&amp;number=62320000000&amp;sourceID=30","62320000000")</f>
        <v>62320000000</v>
      </c>
      <c r="W278" s="4" t="str">
        <f>HYPERLINK("http://141.218.60.56/~jnz1568/getInfo.php?workbook=11_01.xlsx&amp;sheet=A0&amp;row=278&amp;col=23&amp;number=&amp;sourceID=30","")</f>
        <v/>
      </c>
      <c r="X278" s="4" t="str">
        <f>HYPERLINK("http://141.218.60.56/~jnz1568/getInfo.php?workbook=11_01.xlsx&amp;sheet=A0&amp;row=278&amp;col=24&amp;number=&amp;sourceID=30","")</f>
        <v/>
      </c>
      <c r="Y278" s="4" t="str">
        <f>HYPERLINK("http://141.218.60.56/~jnz1568/getInfo.php?workbook=11_01.xlsx&amp;sheet=A0&amp;row=278&amp;col=25&amp;number=173.7&amp;sourceID=30","173.7")</f>
        <v>173.7</v>
      </c>
      <c r="Z278" s="4" t="str">
        <f>HYPERLINK("http://141.218.60.56/~jnz1568/getInfo.php?workbook=11_01.xlsx&amp;sheet=A0&amp;row=278&amp;col=26&amp;number=&amp;sourceID=13","")</f>
        <v/>
      </c>
      <c r="AA278" s="4" t="str">
        <f>HYPERLINK("http://141.218.60.56/~jnz1568/getInfo.php?workbook=11_01.xlsx&amp;sheet=A0&amp;row=278&amp;col=27&amp;number=&amp;sourceID=13","")</f>
        <v/>
      </c>
      <c r="AB278" s="4" t="str">
        <f>HYPERLINK("http://141.218.60.56/~jnz1568/getInfo.php?workbook=11_01.xlsx&amp;sheet=A0&amp;row=278&amp;col=28&amp;number=&amp;sourceID=13","")</f>
        <v/>
      </c>
      <c r="AC278" s="4" t="str">
        <f>HYPERLINK("http://141.218.60.56/~jnz1568/getInfo.php?workbook=11_01.xlsx&amp;sheet=A0&amp;row=278&amp;col=29&amp;number=&amp;sourceID=13","")</f>
        <v/>
      </c>
      <c r="AD278" s="4" t="str">
        <f>HYPERLINK("http://141.218.60.56/~jnz1568/getInfo.php?workbook=11_01.xlsx&amp;sheet=A0&amp;row=278&amp;col=30&amp;number=&amp;sourceID=13","")</f>
        <v/>
      </c>
      <c r="AE278" s="4" t="str">
        <f>HYPERLINK("http://141.218.60.56/~jnz1568/getInfo.php?workbook=11_01.xlsx&amp;sheet=A0&amp;row=278&amp;col=31&amp;number=&amp;sourceID=13","")</f>
        <v/>
      </c>
    </row>
    <row r="279" spans="1:31">
      <c r="A279" s="3">
        <v>11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HYPERLINK("http://141.218.60.56/~jnz1568/getInfo.php?workbook=11_01.xlsx&amp;sheet=A0&amp;row=279&amp;col=6&amp;number=&amp;sourceID=18","")</f>
        <v/>
      </c>
      <c r="G279" s="4" t="str">
        <f>HYPERLINK("http://141.218.60.56/~jnz1568/getInfo.php?workbook=11_01.xlsx&amp;sheet=A0&amp;row=279&amp;col=7&amp;number==&amp;sourceID=11","=")</f>
        <v>=</v>
      </c>
      <c r="H279" s="4" t="str">
        <f>HYPERLINK("http://141.218.60.56/~jnz1568/getInfo.php?workbook=11_01.xlsx&amp;sheet=A0&amp;row=279&amp;col=8&amp;number=&amp;sourceID=11","")</f>
        <v/>
      </c>
      <c r="I279" s="4" t="str">
        <f>HYPERLINK("http://141.218.60.56/~jnz1568/getInfo.php?workbook=11_01.xlsx&amp;sheet=A0&amp;row=279&amp;col=9&amp;number=&amp;sourceID=11","")</f>
        <v/>
      </c>
      <c r="J279" s="4" t="str">
        <f>HYPERLINK("http://141.218.60.56/~jnz1568/getInfo.php?workbook=11_01.xlsx&amp;sheet=A0&amp;row=279&amp;col=10&amp;number=&amp;sourceID=11","")</f>
        <v/>
      </c>
      <c r="K279" s="4" t="str">
        <f>HYPERLINK("http://141.218.60.56/~jnz1568/getInfo.php?workbook=11_01.xlsx&amp;sheet=A0&amp;row=279&amp;col=11&amp;number=&amp;sourceID=11","")</f>
        <v/>
      </c>
      <c r="L279" s="4" t="str">
        <f>HYPERLINK("http://141.218.60.56/~jnz1568/getInfo.php?workbook=11_01.xlsx&amp;sheet=A0&amp;row=279&amp;col=12&amp;number=&amp;sourceID=11","")</f>
        <v/>
      </c>
      <c r="M279" s="4" t="str">
        <f>HYPERLINK("http://141.218.60.56/~jnz1568/getInfo.php?workbook=11_01.xlsx&amp;sheet=A0&amp;row=279&amp;col=13&amp;number=0&amp;sourceID=11","0")</f>
        <v>0</v>
      </c>
      <c r="N279" s="4" t="str">
        <f>HYPERLINK("http://141.218.60.56/~jnz1568/getInfo.php?workbook=11_01.xlsx&amp;sheet=A0&amp;row=279&amp;col=14&amp;number=0&amp;sourceID=12","0")</f>
        <v>0</v>
      </c>
      <c r="O279" s="4" t="str">
        <f>HYPERLINK("http://141.218.60.56/~jnz1568/getInfo.php?workbook=11_01.xlsx&amp;sheet=A0&amp;row=279&amp;col=15&amp;number=&amp;sourceID=12","")</f>
        <v/>
      </c>
      <c r="P279" s="4" t="str">
        <f>HYPERLINK("http://141.218.60.56/~jnz1568/getInfo.php?workbook=11_01.xlsx&amp;sheet=A0&amp;row=279&amp;col=16&amp;number=&amp;sourceID=12","")</f>
        <v/>
      </c>
      <c r="Q279" s="4" t="str">
        <f>HYPERLINK("http://141.218.60.56/~jnz1568/getInfo.php?workbook=11_01.xlsx&amp;sheet=A0&amp;row=279&amp;col=17&amp;number=&amp;sourceID=12","")</f>
        <v/>
      </c>
      <c r="R279" s="4" t="str">
        <f>HYPERLINK("http://141.218.60.56/~jnz1568/getInfo.php?workbook=11_01.xlsx&amp;sheet=A0&amp;row=279&amp;col=18&amp;number=&amp;sourceID=12","")</f>
        <v/>
      </c>
      <c r="S279" s="4" t="str">
        <f>HYPERLINK("http://141.218.60.56/~jnz1568/getInfo.php?workbook=11_01.xlsx&amp;sheet=A0&amp;row=279&amp;col=19&amp;number=&amp;sourceID=12","")</f>
        <v/>
      </c>
      <c r="T279" s="4" t="str">
        <f>HYPERLINK("http://141.218.60.56/~jnz1568/getInfo.php?workbook=11_01.xlsx&amp;sheet=A0&amp;row=279&amp;col=20&amp;number=0&amp;sourceID=12","0")</f>
        <v>0</v>
      </c>
      <c r="U279" s="4" t="str">
        <f>HYPERLINK("http://141.218.60.56/~jnz1568/getInfo.php?workbook=11_01.xlsx&amp;sheet=A0&amp;row=279&amp;col=21&amp;number=&amp;sourceID=30","")</f>
        <v/>
      </c>
      <c r="V279" s="4" t="str">
        <f>HYPERLINK("http://141.218.60.56/~jnz1568/getInfo.php?workbook=11_01.xlsx&amp;sheet=A0&amp;row=279&amp;col=22&amp;number=&amp;sourceID=30","")</f>
        <v/>
      </c>
      <c r="W279" s="4" t="str">
        <f>HYPERLINK("http://141.218.60.56/~jnz1568/getInfo.php?workbook=11_01.xlsx&amp;sheet=A0&amp;row=279&amp;col=23&amp;number=&amp;sourceID=30","")</f>
        <v/>
      </c>
      <c r="X279" s="4" t="str">
        <f>HYPERLINK("http://141.218.60.56/~jnz1568/getInfo.php?workbook=11_01.xlsx&amp;sheet=A0&amp;row=279&amp;col=24&amp;number=&amp;sourceID=30","")</f>
        <v/>
      </c>
      <c r="Y279" s="4" t="str">
        <f>HYPERLINK("http://141.218.60.56/~jnz1568/getInfo.php?workbook=11_01.xlsx&amp;sheet=A0&amp;row=279&amp;col=25&amp;number=&amp;sourceID=30","")</f>
        <v/>
      </c>
      <c r="Z279" s="4" t="str">
        <f>HYPERLINK("http://141.218.60.56/~jnz1568/getInfo.php?workbook=11_01.xlsx&amp;sheet=A0&amp;row=279&amp;col=26&amp;number=&amp;sourceID=13","")</f>
        <v/>
      </c>
      <c r="AA279" s="4" t="str">
        <f>HYPERLINK("http://141.218.60.56/~jnz1568/getInfo.php?workbook=11_01.xlsx&amp;sheet=A0&amp;row=279&amp;col=27&amp;number=&amp;sourceID=13","")</f>
        <v/>
      </c>
      <c r="AB279" s="4" t="str">
        <f>HYPERLINK("http://141.218.60.56/~jnz1568/getInfo.php?workbook=11_01.xlsx&amp;sheet=A0&amp;row=279&amp;col=28&amp;number=&amp;sourceID=13","")</f>
        <v/>
      </c>
      <c r="AC279" s="4" t="str">
        <f>HYPERLINK("http://141.218.60.56/~jnz1568/getInfo.php?workbook=11_01.xlsx&amp;sheet=A0&amp;row=279&amp;col=29&amp;number=&amp;sourceID=13","")</f>
        <v/>
      </c>
      <c r="AD279" s="4" t="str">
        <f>HYPERLINK("http://141.218.60.56/~jnz1568/getInfo.php?workbook=11_01.xlsx&amp;sheet=A0&amp;row=279&amp;col=30&amp;number=&amp;sourceID=13","")</f>
        <v/>
      </c>
      <c r="AE279" s="4" t="str">
        <f>HYPERLINK("http://141.218.60.56/~jnz1568/getInfo.php?workbook=11_01.xlsx&amp;sheet=A0&amp;row=279&amp;col=31&amp;number=&amp;sourceID=13","")</f>
        <v/>
      </c>
    </row>
    <row r="280" spans="1:31">
      <c r="A280" s="3">
        <v>11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HYPERLINK("http://141.218.60.56/~jnz1568/getInfo.php?workbook=11_01.xlsx&amp;sheet=A0&amp;row=280&amp;col=6&amp;number=&amp;sourceID=18","")</f>
        <v/>
      </c>
      <c r="G280" s="4" t="str">
        <f>HYPERLINK("http://141.218.60.56/~jnz1568/getInfo.php?workbook=11_01.xlsx&amp;sheet=A0&amp;row=280&amp;col=7&amp;number==&amp;sourceID=11","=")</f>
        <v>=</v>
      </c>
      <c r="H280" s="4" t="str">
        <f>HYPERLINK("http://141.218.60.56/~jnz1568/getInfo.php?workbook=11_01.xlsx&amp;sheet=A0&amp;row=280&amp;col=8&amp;number=&amp;sourceID=11","")</f>
        <v/>
      </c>
      <c r="I280" s="4" t="str">
        <f>HYPERLINK("http://141.218.60.56/~jnz1568/getInfo.php?workbook=11_01.xlsx&amp;sheet=A0&amp;row=280&amp;col=9&amp;number=&amp;sourceID=11","")</f>
        <v/>
      </c>
      <c r="J280" s="4" t="str">
        <f>HYPERLINK("http://141.218.60.56/~jnz1568/getInfo.php?workbook=11_01.xlsx&amp;sheet=A0&amp;row=280&amp;col=10&amp;number=0&amp;sourceID=11","0")</f>
        <v>0</v>
      </c>
      <c r="K280" s="4" t="str">
        <f>HYPERLINK("http://141.218.60.56/~jnz1568/getInfo.php?workbook=11_01.xlsx&amp;sheet=A0&amp;row=280&amp;col=11&amp;number=&amp;sourceID=11","")</f>
        <v/>
      </c>
      <c r="L280" s="4" t="str">
        <f>HYPERLINK("http://141.218.60.56/~jnz1568/getInfo.php?workbook=11_01.xlsx&amp;sheet=A0&amp;row=280&amp;col=12&amp;number=&amp;sourceID=11","")</f>
        <v/>
      </c>
      <c r="M280" s="4" t="str">
        <f>HYPERLINK("http://141.218.60.56/~jnz1568/getInfo.php?workbook=11_01.xlsx&amp;sheet=A0&amp;row=280&amp;col=13&amp;number=&amp;sourceID=11","")</f>
        <v/>
      </c>
      <c r="N280" s="4" t="str">
        <f>HYPERLINK("http://141.218.60.56/~jnz1568/getInfo.php?workbook=11_01.xlsx&amp;sheet=A0&amp;row=280&amp;col=14&amp;number=0&amp;sourceID=12","0")</f>
        <v>0</v>
      </c>
      <c r="O280" s="4" t="str">
        <f>HYPERLINK("http://141.218.60.56/~jnz1568/getInfo.php?workbook=11_01.xlsx&amp;sheet=A0&amp;row=280&amp;col=15&amp;number=&amp;sourceID=12","")</f>
        <v/>
      </c>
      <c r="P280" s="4" t="str">
        <f>HYPERLINK("http://141.218.60.56/~jnz1568/getInfo.php?workbook=11_01.xlsx&amp;sheet=A0&amp;row=280&amp;col=16&amp;number=&amp;sourceID=12","")</f>
        <v/>
      </c>
      <c r="Q280" s="4" t="str">
        <f>HYPERLINK("http://141.218.60.56/~jnz1568/getInfo.php?workbook=11_01.xlsx&amp;sheet=A0&amp;row=280&amp;col=17&amp;number=0&amp;sourceID=12","0")</f>
        <v>0</v>
      </c>
      <c r="R280" s="4" t="str">
        <f>HYPERLINK("http://141.218.60.56/~jnz1568/getInfo.php?workbook=11_01.xlsx&amp;sheet=A0&amp;row=280&amp;col=18&amp;number=&amp;sourceID=12","")</f>
        <v/>
      </c>
      <c r="S280" s="4" t="str">
        <f>HYPERLINK("http://141.218.60.56/~jnz1568/getInfo.php?workbook=11_01.xlsx&amp;sheet=A0&amp;row=280&amp;col=19&amp;number=&amp;sourceID=12","")</f>
        <v/>
      </c>
      <c r="T280" s="4" t="str">
        <f>HYPERLINK("http://141.218.60.56/~jnz1568/getInfo.php?workbook=11_01.xlsx&amp;sheet=A0&amp;row=280&amp;col=20&amp;number=&amp;sourceID=12","")</f>
        <v/>
      </c>
      <c r="U280" s="4" t="str">
        <f>HYPERLINK("http://141.218.60.56/~jnz1568/getInfo.php?workbook=11_01.xlsx&amp;sheet=A0&amp;row=280&amp;col=21&amp;number=&amp;sourceID=30","")</f>
        <v/>
      </c>
      <c r="V280" s="4" t="str">
        <f>HYPERLINK("http://141.218.60.56/~jnz1568/getInfo.php?workbook=11_01.xlsx&amp;sheet=A0&amp;row=280&amp;col=22&amp;number=&amp;sourceID=30","")</f>
        <v/>
      </c>
      <c r="W280" s="4" t="str">
        <f>HYPERLINK("http://141.218.60.56/~jnz1568/getInfo.php?workbook=11_01.xlsx&amp;sheet=A0&amp;row=280&amp;col=23&amp;number=&amp;sourceID=30","")</f>
        <v/>
      </c>
      <c r="X280" s="4" t="str">
        <f>HYPERLINK("http://141.218.60.56/~jnz1568/getInfo.php?workbook=11_01.xlsx&amp;sheet=A0&amp;row=280&amp;col=24&amp;number=&amp;sourceID=30","")</f>
        <v/>
      </c>
      <c r="Y280" s="4" t="str">
        <f>HYPERLINK("http://141.218.60.56/~jnz1568/getInfo.php?workbook=11_01.xlsx&amp;sheet=A0&amp;row=280&amp;col=25&amp;number=&amp;sourceID=30","")</f>
        <v/>
      </c>
      <c r="Z280" s="4" t="str">
        <f>HYPERLINK("http://141.218.60.56/~jnz1568/getInfo.php?workbook=11_01.xlsx&amp;sheet=A0&amp;row=280&amp;col=26&amp;number=&amp;sourceID=13","")</f>
        <v/>
      </c>
      <c r="AA280" s="4" t="str">
        <f>HYPERLINK("http://141.218.60.56/~jnz1568/getInfo.php?workbook=11_01.xlsx&amp;sheet=A0&amp;row=280&amp;col=27&amp;number=&amp;sourceID=13","")</f>
        <v/>
      </c>
      <c r="AB280" s="4" t="str">
        <f>HYPERLINK("http://141.218.60.56/~jnz1568/getInfo.php?workbook=11_01.xlsx&amp;sheet=A0&amp;row=280&amp;col=28&amp;number=&amp;sourceID=13","")</f>
        <v/>
      </c>
      <c r="AC280" s="4" t="str">
        <f>HYPERLINK("http://141.218.60.56/~jnz1568/getInfo.php?workbook=11_01.xlsx&amp;sheet=A0&amp;row=280&amp;col=29&amp;number=&amp;sourceID=13","")</f>
        <v/>
      </c>
      <c r="AD280" s="4" t="str">
        <f>HYPERLINK("http://141.218.60.56/~jnz1568/getInfo.php?workbook=11_01.xlsx&amp;sheet=A0&amp;row=280&amp;col=30&amp;number=&amp;sourceID=13","")</f>
        <v/>
      </c>
      <c r="AE280" s="4" t="str">
        <f>HYPERLINK("http://141.218.60.56/~jnz1568/getInfo.php?workbook=11_01.xlsx&amp;sheet=A0&amp;row=280&amp;col=31&amp;number=&amp;sourceID=13","")</f>
        <v/>
      </c>
    </row>
    <row r="281" spans="1:31">
      <c r="A281" s="3">
        <v>11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HYPERLINK("http://141.218.60.56/~jnz1568/getInfo.php?workbook=11_01.xlsx&amp;sheet=A0&amp;row=281&amp;col=6&amp;number=&amp;sourceID=18","")</f>
        <v/>
      </c>
      <c r="G281" s="4" t="str">
        <f>HYPERLINK("http://141.218.60.56/~jnz1568/getInfo.php?workbook=11_01.xlsx&amp;sheet=A0&amp;row=281&amp;col=7&amp;number==&amp;sourceID=11","=")</f>
        <v>=</v>
      </c>
      <c r="H281" s="4" t="str">
        <f>HYPERLINK("http://141.218.60.56/~jnz1568/getInfo.php?workbook=11_01.xlsx&amp;sheet=A0&amp;row=281&amp;col=8&amp;number=&amp;sourceID=11","")</f>
        <v/>
      </c>
      <c r="I281" s="4" t="str">
        <f>HYPERLINK("http://141.218.60.56/~jnz1568/getInfo.php?workbook=11_01.xlsx&amp;sheet=A0&amp;row=281&amp;col=9&amp;number=&amp;sourceID=11","")</f>
        <v/>
      </c>
      <c r="J281" s="4" t="str">
        <f>HYPERLINK("http://141.218.60.56/~jnz1568/getInfo.php?workbook=11_01.xlsx&amp;sheet=A0&amp;row=281&amp;col=10&amp;number=0&amp;sourceID=11","0")</f>
        <v>0</v>
      </c>
      <c r="K281" s="4" t="str">
        <f>HYPERLINK("http://141.218.60.56/~jnz1568/getInfo.php?workbook=11_01.xlsx&amp;sheet=A0&amp;row=281&amp;col=11&amp;number=&amp;sourceID=11","")</f>
        <v/>
      </c>
      <c r="L281" s="4" t="str">
        <f>HYPERLINK("http://141.218.60.56/~jnz1568/getInfo.php?workbook=11_01.xlsx&amp;sheet=A0&amp;row=281&amp;col=12&amp;number=0&amp;sourceID=11","0")</f>
        <v>0</v>
      </c>
      <c r="M281" s="4" t="str">
        <f>HYPERLINK("http://141.218.60.56/~jnz1568/getInfo.php?workbook=11_01.xlsx&amp;sheet=A0&amp;row=281&amp;col=13&amp;number=&amp;sourceID=11","")</f>
        <v/>
      </c>
      <c r="N281" s="4" t="str">
        <f>HYPERLINK("http://141.218.60.56/~jnz1568/getInfo.php?workbook=11_01.xlsx&amp;sheet=A0&amp;row=281&amp;col=14&amp;number=0&amp;sourceID=12","0")</f>
        <v>0</v>
      </c>
      <c r="O281" s="4" t="str">
        <f>HYPERLINK("http://141.218.60.56/~jnz1568/getInfo.php?workbook=11_01.xlsx&amp;sheet=A0&amp;row=281&amp;col=15&amp;number=&amp;sourceID=12","")</f>
        <v/>
      </c>
      <c r="P281" s="4" t="str">
        <f>HYPERLINK("http://141.218.60.56/~jnz1568/getInfo.php?workbook=11_01.xlsx&amp;sheet=A0&amp;row=281&amp;col=16&amp;number=&amp;sourceID=12","")</f>
        <v/>
      </c>
      <c r="Q281" s="4" t="str">
        <f>HYPERLINK("http://141.218.60.56/~jnz1568/getInfo.php?workbook=11_01.xlsx&amp;sheet=A0&amp;row=281&amp;col=17&amp;number=0&amp;sourceID=12","0")</f>
        <v>0</v>
      </c>
      <c r="R281" s="4" t="str">
        <f>HYPERLINK("http://141.218.60.56/~jnz1568/getInfo.php?workbook=11_01.xlsx&amp;sheet=A0&amp;row=281&amp;col=18&amp;number=&amp;sourceID=12","")</f>
        <v/>
      </c>
      <c r="S281" s="4" t="str">
        <f>HYPERLINK("http://141.218.60.56/~jnz1568/getInfo.php?workbook=11_01.xlsx&amp;sheet=A0&amp;row=281&amp;col=19&amp;number=0&amp;sourceID=12","0")</f>
        <v>0</v>
      </c>
      <c r="T281" s="4" t="str">
        <f>HYPERLINK("http://141.218.60.56/~jnz1568/getInfo.php?workbook=11_01.xlsx&amp;sheet=A0&amp;row=281&amp;col=20&amp;number=&amp;sourceID=12","")</f>
        <v/>
      </c>
      <c r="U281" s="4" t="str">
        <f>HYPERLINK("http://141.218.60.56/~jnz1568/getInfo.php?workbook=11_01.xlsx&amp;sheet=A0&amp;row=281&amp;col=21&amp;number=0&amp;sourceID=30","0")</f>
        <v>0</v>
      </c>
      <c r="V281" s="4" t="str">
        <f>HYPERLINK("http://141.218.60.56/~jnz1568/getInfo.php?workbook=11_01.xlsx&amp;sheet=A0&amp;row=281&amp;col=22&amp;number=&amp;sourceID=30","")</f>
        <v/>
      </c>
      <c r="W281" s="4" t="str">
        <f>HYPERLINK("http://141.218.60.56/~jnz1568/getInfo.php?workbook=11_01.xlsx&amp;sheet=A0&amp;row=281&amp;col=23&amp;number=&amp;sourceID=30","")</f>
        <v/>
      </c>
      <c r="X281" s="4" t="str">
        <f>HYPERLINK("http://141.218.60.56/~jnz1568/getInfo.php?workbook=11_01.xlsx&amp;sheet=A0&amp;row=281&amp;col=24&amp;number=&amp;sourceID=30","")</f>
        <v/>
      </c>
      <c r="Y281" s="4" t="str">
        <f>HYPERLINK("http://141.218.60.56/~jnz1568/getInfo.php?workbook=11_01.xlsx&amp;sheet=A0&amp;row=281&amp;col=25&amp;number=0&amp;sourceID=30","0")</f>
        <v>0</v>
      </c>
      <c r="Z281" s="4" t="str">
        <f>HYPERLINK("http://141.218.60.56/~jnz1568/getInfo.php?workbook=11_01.xlsx&amp;sheet=A0&amp;row=281&amp;col=26&amp;number=&amp;sourceID=13","")</f>
        <v/>
      </c>
      <c r="AA281" s="4" t="str">
        <f>HYPERLINK("http://141.218.60.56/~jnz1568/getInfo.php?workbook=11_01.xlsx&amp;sheet=A0&amp;row=281&amp;col=27&amp;number=&amp;sourceID=13","")</f>
        <v/>
      </c>
      <c r="AB281" s="4" t="str">
        <f>HYPERLINK("http://141.218.60.56/~jnz1568/getInfo.php?workbook=11_01.xlsx&amp;sheet=A0&amp;row=281&amp;col=28&amp;number=&amp;sourceID=13","")</f>
        <v/>
      </c>
      <c r="AC281" s="4" t="str">
        <f>HYPERLINK("http://141.218.60.56/~jnz1568/getInfo.php?workbook=11_01.xlsx&amp;sheet=A0&amp;row=281&amp;col=29&amp;number=&amp;sourceID=13","")</f>
        <v/>
      </c>
      <c r="AD281" s="4" t="str">
        <f>HYPERLINK("http://141.218.60.56/~jnz1568/getInfo.php?workbook=11_01.xlsx&amp;sheet=A0&amp;row=281&amp;col=30&amp;number=&amp;sourceID=13","")</f>
        <v/>
      </c>
      <c r="AE281" s="4" t="str">
        <f>HYPERLINK("http://141.218.60.56/~jnz1568/getInfo.php?workbook=11_01.xlsx&amp;sheet=A0&amp;row=281&amp;col=31&amp;number=&amp;sourceID=13","")</f>
        <v/>
      </c>
    </row>
    <row r="282" spans="1:31">
      <c r="A282" s="3">
        <v>11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HYPERLINK("http://141.218.60.56/~jnz1568/getInfo.php?workbook=11_01.xlsx&amp;sheet=A0&amp;row=282&amp;col=6&amp;number=&amp;sourceID=18","")</f>
        <v/>
      </c>
      <c r="G282" s="4" t="str">
        <f>HYPERLINK("http://141.218.60.56/~jnz1568/getInfo.php?workbook=11_01.xlsx&amp;sheet=A0&amp;row=282&amp;col=7&amp;number==&amp;sourceID=11","=")</f>
        <v>=</v>
      </c>
      <c r="H282" s="4" t="str">
        <f>HYPERLINK("http://141.218.60.56/~jnz1568/getInfo.php?workbook=11_01.xlsx&amp;sheet=A0&amp;row=282&amp;col=8&amp;number=&amp;sourceID=11","")</f>
        <v/>
      </c>
      <c r="I282" s="4" t="str">
        <f>HYPERLINK("http://141.218.60.56/~jnz1568/getInfo.php?workbook=11_01.xlsx&amp;sheet=A0&amp;row=282&amp;col=9&amp;number=7.799e-12&amp;sourceID=11","7.799e-12")</f>
        <v>7.799e-12</v>
      </c>
      <c r="J282" s="4" t="str">
        <f>HYPERLINK("http://141.218.60.56/~jnz1568/getInfo.php?workbook=11_01.xlsx&amp;sheet=A0&amp;row=282&amp;col=10&amp;number=&amp;sourceID=11","")</f>
        <v/>
      </c>
      <c r="K282" s="4" t="str">
        <f>HYPERLINK("http://141.218.60.56/~jnz1568/getInfo.php?workbook=11_01.xlsx&amp;sheet=A0&amp;row=282&amp;col=11&amp;number=&amp;sourceID=11","")</f>
        <v/>
      </c>
      <c r="L282" s="4" t="str">
        <f>HYPERLINK("http://141.218.60.56/~jnz1568/getInfo.php?workbook=11_01.xlsx&amp;sheet=A0&amp;row=282&amp;col=12&amp;number=&amp;sourceID=11","")</f>
        <v/>
      </c>
      <c r="M282" s="4" t="str">
        <f>HYPERLINK("http://141.218.60.56/~jnz1568/getInfo.php?workbook=11_01.xlsx&amp;sheet=A0&amp;row=282&amp;col=13&amp;number=0&amp;sourceID=11","0")</f>
        <v>0</v>
      </c>
      <c r="N282" s="4" t="str">
        <f>HYPERLINK("http://141.218.60.56/~jnz1568/getInfo.php?workbook=11_01.xlsx&amp;sheet=A0&amp;row=282&amp;col=14&amp;number=7.8e-12&amp;sourceID=12","7.8e-12")</f>
        <v>7.8e-12</v>
      </c>
      <c r="O282" s="4" t="str">
        <f>HYPERLINK("http://141.218.60.56/~jnz1568/getInfo.php?workbook=11_01.xlsx&amp;sheet=A0&amp;row=282&amp;col=15&amp;number=&amp;sourceID=12","")</f>
        <v/>
      </c>
      <c r="P282" s="4" t="str">
        <f>HYPERLINK("http://141.218.60.56/~jnz1568/getInfo.php?workbook=11_01.xlsx&amp;sheet=A0&amp;row=282&amp;col=16&amp;number=7.8e-12&amp;sourceID=12","7.8e-12")</f>
        <v>7.8e-12</v>
      </c>
      <c r="Q282" s="4" t="str">
        <f>HYPERLINK("http://141.218.60.56/~jnz1568/getInfo.php?workbook=11_01.xlsx&amp;sheet=A0&amp;row=282&amp;col=17&amp;number=&amp;sourceID=12","")</f>
        <v/>
      </c>
      <c r="R282" s="4" t="str">
        <f>HYPERLINK("http://141.218.60.56/~jnz1568/getInfo.php?workbook=11_01.xlsx&amp;sheet=A0&amp;row=282&amp;col=18&amp;number=&amp;sourceID=12","")</f>
        <v/>
      </c>
      <c r="S282" s="4" t="str">
        <f>HYPERLINK("http://141.218.60.56/~jnz1568/getInfo.php?workbook=11_01.xlsx&amp;sheet=A0&amp;row=282&amp;col=19&amp;number=&amp;sourceID=12","")</f>
        <v/>
      </c>
      <c r="T282" s="4" t="str">
        <f>HYPERLINK("http://141.218.60.56/~jnz1568/getInfo.php?workbook=11_01.xlsx&amp;sheet=A0&amp;row=282&amp;col=20&amp;number=0&amp;sourceID=12","0")</f>
        <v>0</v>
      </c>
      <c r="U282" s="4" t="str">
        <f>HYPERLINK("http://141.218.60.56/~jnz1568/getInfo.php?workbook=11_01.xlsx&amp;sheet=A0&amp;row=282&amp;col=21&amp;number=7.8e-12&amp;sourceID=30","7.8e-12")</f>
        <v>7.8e-12</v>
      </c>
      <c r="V282" s="4" t="str">
        <f>HYPERLINK("http://141.218.60.56/~jnz1568/getInfo.php?workbook=11_01.xlsx&amp;sheet=A0&amp;row=282&amp;col=22&amp;number=&amp;sourceID=30","")</f>
        <v/>
      </c>
      <c r="W282" s="4" t="str">
        <f>HYPERLINK("http://141.218.60.56/~jnz1568/getInfo.php?workbook=11_01.xlsx&amp;sheet=A0&amp;row=282&amp;col=23&amp;number=7.8e-12&amp;sourceID=30","7.8e-12")</f>
        <v>7.8e-12</v>
      </c>
      <c r="X282" s="4" t="str">
        <f>HYPERLINK("http://141.218.60.56/~jnz1568/getInfo.php?workbook=11_01.xlsx&amp;sheet=A0&amp;row=282&amp;col=24&amp;number=&amp;sourceID=30","")</f>
        <v/>
      </c>
      <c r="Y282" s="4" t="str">
        <f>HYPERLINK("http://141.218.60.56/~jnz1568/getInfo.php?workbook=11_01.xlsx&amp;sheet=A0&amp;row=282&amp;col=25&amp;number=&amp;sourceID=30","")</f>
        <v/>
      </c>
      <c r="Z282" s="4" t="str">
        <f>HYPERLINK("http://141.218.60.56/~jnz1568/getInfo.php?workbook=11_01.xlsx&amp;sheet=A0&amp;row=282&amp;col=26&amp;number=&amp;sourceID=13","")</f>
        <v/>
      </c>
      <c r="AA282" s="4" t="str">
        <f>HYPERLINK("http://141.218.60.56/~jnz1568/getInfo.php?workbook=11_01.xlsx&amp;sheet=A0&amp;row=282&amp;col=27&amp;number=&amp;sourceID=13","")</f>
        <v/>
      </c>
      <c r="AB282" s="4" t="str">
        <f>HYPERLINK("http://141.218.60.56/~jnz1568/getInfo.php?workbook=11_01.xlsx&amp;sheet=A0&amp;row=282&amp;col=28&amp;number=&amp;sourceID=13","")</f>
        <v/>
      </c>
      <c r="AC282" s="4" t="str">
        <f>HYPERLINK("http://141.218.60.56/~jnz1568/getInfo.php?workbook=11_01.xlsx&amp;sheet=A0&amp;row=282&amp;col=29&amp;number=&amp;sourceID=13","")</f>
        <v/>
      </c>
      <c r="AD282" s="4" t="str">
        <f>HYPERLINK("http://141.218.60.56/~jnz1568/getInfo.php?workbook=11_01.xlsx&amp;sheet=A0&amp;row=282&amp;col=30&amp;number=&amp;sourceID=13","")</f>
        <v/>
      </c>
      <c r="AE282" s="4" t="str">
        <f>HYPERLINK("http://141.218.60.56/~jnz1568/getInfo.php?workbook=11_01.xlsx&amp;sheet=A0&amp;row=282&amp;col=31&amp;number=&amp;sourceID=13","")</f>
        <v/>
      </c>
    </row>
    <row r="283" spans="1:31">
      <c r="A283" s="3">
        <v>11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HYPERLINK("http://141.218.60.56/~jnz1568/getInfo.php?workbook=11_01.xlsx&amp;sheet=A0&amp;row=283&amp;col=6&amp;number=&amp;sourceID=18","")</f>
        <v/>
      </c>
      <c r="G283" s="4" t="str">
        <f>HYPERLINK("http://141.218.60.56/~jnz1568/getInfo.php?workbook=11_01.xlsx&amp;sheet=A0&amp;row=283&amp;col=7&amp;number==&amp;sourceID=11","=")</f>
        <v>=</v>
      </c>
      <c r="H283" s="4" t="str">
        <f>HYPERLINK("http://141.218.60.56/~jnz1568/getInfo.php?workbook=11_01.xlsx&amp;sheet=A0&amp;row=283&amp;col=8&amp;number=&amp;sourceID=11","")</f>
        <v/>
      </c>
      <c r="I283" s="4" t="str">
        <f>HYPERLINK("http://141.218.60.56/~jnz1568/getInfo.php?workbook=11_01.xlsx&amp;sheet=A0&amp;row=283&amp;col=9&amp;number=4e-15&amp;sourceID=11","4e-15")</f>
        <v>4e-15</v>
      </c>
      <c r="J283" s="4" t="str">
        <f>HYPERLINK("http://141.218.60.56/~jnz1568/getInfo.php?workbook=11_01.xlsx&amp;sheet=A0&amp;row=283&amp;col=10&amp;number=&amp;sourceID=11","")</f>
        <v/>
      </c>
      <c r="K283" s="4" t="str">
        <f>HYPERLINK("http://141.218.60.56/~jnz1568/getInfo.php?workbook=11_01.xlsx&amp;sheet=A0&amp;row=283&amp;col=11&amp;number=4.8086e-07&amp;sourceID=11","4.8086e-07")</f>
        <v>4.8086e-07</v>
      </c>
      <c r="L283" s="4" t="str">
        <f>HYPERLINK("http://141.218.60.56/~jnz1568/getInfo.php?workbook=11_01.xlsx&amp;sheet=A0&amp;row=283&amp;col=12&amp;number=&amp;sourceID=11","")</f>
        <v/>
      </c>
      <c r="M283" s="4" t="str">
        <f>HYPERLINK("http://141.218.60.56/~jnz1568/getInfo.php?workbook=11_01.xlsx&amp;sheet=A0&amp;row=283&amp;col=13&amp;number=0&amp;sourceID=11","0")</f>
        <v>0</v>
      </c>
      <c r="N283" s="4" t="str">
        <f>HYPERLINK("http://141.218.60.56/~jnz1568/getInfo.php?workbook=11_01.xlsx&amp;sheet=A0&amp;row=283&amp;col=14&amp;number=4.8089e-07&amp;sourceID=12","4.8089e-07")</f>
        <v>4.8089e-07</v>
      </c>
      <c r="O283" s="4" t="str">
        <f>HYPERLINK("http://141.218.60.56/~jnz1568/getInfo.php?workbook=11_01.xlsx&amp;sheet=A0&amp;row=283&amp;col=15&amp;number=&amp;sourceID=12","")</f>
        <v/>
      </c>
      <c r="P283" s="4" t="str">
        <f>HYPERLINK("http://141.218.60.56/~jnz1568/getInfo.php?workbook=11_01.xlsx&amp;sheet=A0&amp;row=283&amp;col=16&amp;number=4e-15&amp;sourceID=12","4e-15")</f>
        <v>4e-15</v>
      </c>
      <c r="Q283" s="4" t="str">
        <f>HYPERLINK("http://141.218.60.56/~jnz1568/getInfo.php?workbook=11_01.xlsx&amp;sheet=A0&amp;row=283&amp;col=17&amp;number=&amp;sourceID=12","")</f>
        <v/>
      </c>
      <c r="R283" s="4" t="str">
        <f>HYPERLINK("http://141.218.60.56/~jnz1568/getInfo.php?workbook=11_01.xlsx&amp;sheet=A0&amp;row=283&amp;col=18&amp;number=4.8089e-07&amp;sourceID=12","4.8089e-07")</f>
        <v>4.8089e-07</v>
      </c>
      <c r="S283" s="4" t="str">
        <f>HYPERLINK("http://141.218.60.56/~jnz1568/getInfo.php?workbook=11_01.xlsx&amp;sheet=A0&amp;row=283&amp;col=19&amp;number=&amp;sourceID=12","")</f>
        <v/>
      </c>
      <c r="T283" s="4" t="str">
        <f>HYPERLINK("http://141.218.60.56/~jnz1568/getInfo.php?workbook=11_01.xlsx&amp;sheet=A0&amp;row=283&amp;col=20&amp;number=0&amp;sourceID=12","0")</f>
        <v>0</v>
      </c>
      <c r="U283" s="4" t="str">
        <f>HYPERLINK("http://141.218.60.56/~jnz1568/getInfo.php?workbook=11_01.xlsx&amp;sheet=A0&amp;row=283&amp;col=21&amp;number=4.80900004e-07&amp;sourceID=30","4.80900004e-07")</f>
        <v>4.80900004e-07</v>
      </c>
      <c r="V283" s="4" t="str">
        <f>HYPERLINK("http://141.218.60.56/~jnz1568/getInfo.php?workbook=11_01.xlsx&amp;sheet=A0&amp;row=283&amp;col=22&amp;number=&amp;sourceID=30","")</f>
        <v/>
      </c>
      <c r="W283" s="4" t="str">
        <f>HYPERLINK("http://141.218.60.56/~jnz1568/getInfo.php?workbook=11_01.xlsx&amp;sheet=A0&amp;row=283&amp;col=23&amp;number=4e-15&amp;sourceID=30","4e-15")</f>
        <v>4e-15</v>
      </c>
      <c r="X283" s="4" t="str">
        <f>HYPERLINK("http://141.218.60.56/~jnz1568/getInfo.php?workbook=11_01.xlsx&amp;sheet=A0&amp;row=283&amp;col=24&amp;number=4.809e-07&amp;sourceID=30","4.809e-07")</f>
        <v>4.809e-07</v>
      </c>
      <c r="Y283" s="4" t="str">
        <f>HYPERLINK("http://141.218.60.56/~jnz1568/getInfo.php?workbook=11_01.xlsx&amp;sheet=A0&amp;row=283&amp;col=25&amp;number=&amp;sourceID=30","")</f>
        <v/>
      </c>
      <c r="Z283" s="4" t="str">
        <f>HYPERLINK("http://141.218.60.56/~jnz1568/getInfo.php?workbook=11_01.xlsx&amp;sheet=A0&amp;row=283&amp;col=26&amp;number=&amp;sourceID=13","")</f>
        <v/>
      </c>
      <c r="AA283" s="4" t="str">
        <f>HYPERLINK("http://141.218.60.56/~jnz1568/getInfo.php?workbook=11_01.xlsx&amp;sheet=A0&amp;row=283&amp;col=27&amp;number=&amp;sourceID=13","")</f>
        <v/>
      </c>
      <c r="AB283" s="4" t="str">
        <f>HYPERLINK("http://141.218.60.56/~jnz1568/getInfo.php?workbook=11_01.xlsx&amp;sheet=A0&amp;row=283&amp;col=28&amp;number=&amp;sourceID=13","")</f>
        <v/>
      </c>
      <c r="AC283" s="4" t="str">
        <f>HYPERLINK("http://141.218.60.56/~jnz1568/getInfo.php?workbook=11_01.xlsx&amp;sheet=A0&amp;row=283&amp;col=29&amp;number=&amp;sourceID=13","")</f>
        <v/>
      </c>
      <c r="AD283" s="4" t="str">
        <f>HYPERLINK("http://141.218.60.56/~jnz1568/getInfo.php?workbook=11_01.xlsx&amp;sheet=A0&amp;row=283&amp;col=30&amp;number=&amp;sourceID=13","")</f>
        <v/>
      </c>
      <c r="AE283" s="4" t="str">
        <f>HYPERLINK("http://141.218.60.56/~jnz1568/getInfo.php?workbook=11_01.xlsx&amp;sheet=A0&amp;row=283&amp;col=31&amp;number=&amp;sourceID=13","")</f>
        <v/>
      </c>
    </row>
    <row r="284" spans="1:31">
      <c r="A284" s="3">
        <v>11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HYPERLINK("http://141.218.60.56/~jnz1568/getInfo.php?workbook=11_01.xlsx&amp;sheet=A0&amp;row=284&amp;col=6&amp;number=&amp;sourceID=18","")</f>
        <v/>
      </c>
      <c r="G284" s="4" t="str">
        <f>HYPERLINK("http://141.218.60.56/~jnz1568/getInfo.php?workbook=11_01.xlsx&amp;sheet=A0&amp;row=284&amp;col=7&amp;number==&amp;sourceID=11","=")</f>
        <v>=</v>
      </c>
      <c r="H284" s="4" t="str">
        <f>HYPERLINK("http://141.218.60.56/~jnz1568/getInfo.php?workbook=11_01.xlsx&amp;sheet=A0&amp;row=284&amp;col=8&amp;number=0.15111&amp;sourceID=11","0.15111")</f>
        <v>0.15111</v>
      </c>
      <c r="I284" s="4" t="str">
        <f>HYPERLINK("http://141.218.60.56/~jnz1568/getInfo.php?workbook=11_01.xlsx&amp;sheet=A0&amp;row=284&amp;col=9&amp;number=&amp;sourceID=11","")</f>
        <v/>
      </c>
      <c r="J284" s="4" t="str">
        <f>HYPERLINK("http://141.218.60.56/~jnz1568/getInfo.php?workbook=11_01.xlsx&amp;sheet=A0&amp;row=284&amp;col=10&amp;number=0&amp;sourceID=11","0")</f>
        <v>0</v>
      </c>
      <c r="K284" s="4" t="str">
        <f>HYPERLINK("http://141.218.60.56/~jnz1568/getInfo.php?workbook=11_01.xlsx&amp;sheet=A0&amp;row=284&amp;col=11&amp;number=&amp;sourceID=11","")</f>
        <v/>
      </c>
      <c r="L284" s="4" t="str">
        <f>HYPERLINK("http://141.218.60.56/~jnz1568/getInfo.php?workbook=11_01.xlsx&amp;sheet=A0&amp;row=284&amp;col=12&amp;number=0&amp;sourceID=11","0")</f>
        <v>0</v>
      </c>
      <c r="M284" s="4" t="str">
        <f>HYPERLINK("http://141.218.60.56/~jnz1568/getInfo.php?workbook=11_01.xlsx&amp;sheet=A0&amp;row=284&amp;col=13&amp;number=&amp;sourceID=11","")</f>
        <v/>
      </c>
      <c r="N284" s="4" t="str">
        <f>HYPERLINK("http://141.218.60.56/~jnz1568/getInfo.php?workbook=11_01.xlsx&amp;sheet=A0&amp;row=284&amp;col=14&amp;number=0.15112&amp;sourceID=12","0.15112")</f>
        <v>0.15112</v>
      </c>
      <c r="O284" s="4" t="str">
        <f>HYPERLINK("http://141.218.60.56/~jnz1568/getInfo.php?workbook=11_01.xlsx&amp;sheet=A0&amp;row=284&amp;col=15&amp;number=0.15112&amp;sourceID=12","0.15112")</f>
        <v>0.15112</v>
      </c>
      <c r="P284" s="4" t="str">
        <f>HYPERLINK("http://141.218.60.56/~jnz1568/getInfo.php?workbook=11_01.xlsx&amp;sheet=A0&amp;row=284&amp;col=16&amp;number=&amp;sourceID=12","")</f>
        <v/>
      </c>
      <c r="Q284" s="4" t="str">
        <f>HYPERLINK("http://141.218.60.56/~jnz1568/getInfo.php?workbook=11_01.xlsx&amp;sheet=A0&amp;row=284&amp;col=17&amp;number=0&amp;sourceID=12","0")</f>
        <v>0</v>
      </c>
      <c r="R284" s="4" t="str">
        <f>HYPERLINK("http://141.218.60.56/~jnz1568/getInfo.php?workbook=11_01.xlsx&amp;sheet=A0&amp;row=284&amp;col=18&amp;number=&amp;sourceID=12","")</f>
        <v/>
      </c>
      <c r="S284" s="4" t="str">
        <f>HYPERLINK("http://141.218.60.56/~jnz1568/getInfo.php?workbook=11_01.xlsx&amp;sheet=A0&amp;row=284&amp;col=19&amp;number=0&amp;sourceID=12","0")</f>
        <v>0</v>
      </c>
      <c r="T284" s="4" t="str">
        <f>HYPERLINK("http://141.218.60.56/~jnz1568/getInfo.php?workbook=11_01.xlsx&amp;sheet=A0&amp;row=284&amp;col=20&amp;number=&amp;sourceID=12","")</f>
        <v/>
      </c>
      <c r="U284" s="4" t="str">
        <f>HYPERLINK("http://141.218.60.56/~jnz1568/getInfo.php?workbook=11_01.xlsx&amp;sheet=A0&amp;row=284&amp;col=21&amp;number=0.1511&amp;sourceID=30","0.1511")</f>
        <v>0.1511</v>
      </c>
      <c r="V284" s="4" t="str">
        <f>HYPERLINK("http://141.218.60.56/~jnz1568/getInfo.php?workbook=11_01.xlsx&amp;sheet=A0&amp;row=284&amp;col=22&amp;number=0.1511&amp;sourceID=30","0.1511")</f>
        <v>0.1511</v>
      </c>
      <c r="W284" s="4" t="str">
        <f>HYPERLINK("http://141.218.60.56/~jnz1568/getInfo.php?workbook=11_01.xlsx&amp;sheet=A0&amp;row=284&amp;col=23&amp;number=&amp;sourceID=30","")</f>
        <v/>
      </c>
      <c r="X284" s="4" t="str">
        <f>HYPERLINK("http://141.218.60.56/~jnz1568/getInfo.php?workbook=11_01.xlsx&amp;sheet=A0&amp;row=284&amp;col=24&amp;number=&amp;sourceID=30","")</f>
        <v/>
      </c>
      <c r="Y284" s="4" t="str">
        <f>HYPERLINK("http://141.218.60.56/~jnz1568/getInfo.php?workbook=11_01.xlsx&amp;sheet=A0&amp;row=284&amp;col=25&amp;number=0&amp;sourceID=30","0")</f>
        <v>0</v>
      </c>
      <c r="Z284" s="4" t="str">
        <f>HYPERLINK("http://141.218.60.56/~jnz1568/getInfo.php?workbook=11_01.xlsx&amp;sheet=A0&amp;row=284&amp;col=26&amp;number=&amp;sourceID=13","")</f>
        <v/>
      </c>
      <c r="AA284" s="4" t="str">
        <f>HYPERLINK("http://141.218.60.56/~jnz1568/getInfo.php?workbook=11_01.xlsx&amp;sheet=A0&amp;row=284&amp;col=27&amp;number=&amp;sourceID=13","")</f>
        <v/>
      </c>
      <c r="AB284" s="4" t="str">
        <f>HYPERLINK("http://141.218.60.56/~jnz1568/getInfo.php?workbook=11_01.xlsx&amp;sheet=A0&amp;row=284&amp;col=28&amp;number=&amp;sourceID=13","")</f>
        <v/>
      </c>
      <c r="AC284" s="4" t="str">
        <f>HYPERLINK("http://141.218.60.56/~jnz1568/getInfo.php?workbook=11_01.xlsx&amp;sheet=A0&amp;row=284&amp;col=29&amp;number=&amp;sourceID=13","")</f>
        <v/>
      </c>
      <c r="AD284" s="4" t="str">
        <f>HYPERLINK("http://141.218.60.56/~jnz1568/getInfo.php?workbook=11_01.xlsx&amp;sheet=A0&amp;row=284&amp;col=30&amp;number=&amp;sourceID=13","")</f>
        <v/>
      </c>
      <c r="AE284" s="4" t="str">
        <f>HYPERLINK("http://141.218.60.56/~jnz1568/getInfo.php?workbook=11_01.xlsx&amp;sheet=A0&amp;row=284&amp;col=31&amp;number=&amp;sourceID=13","")</f>
        <v/>
      </c>
    </row>
  </sheetData>
  <mergeCells count="1">
    <mergeCell ref="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2015-04-13T07:18:42Z</dcterms:created>
  <dcterms:modified xsi:type="dcterms:W3CDTF">2015-04-13T07:18:42Z</dcterms:modified>
</cp:coreProperties>
</file>