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  <sheet name="O0" sheetId="4" r:id="rId4"/>
  </sheets>
  <calcPr calcId="124519" fullCalcOnLoad="1"/>
</workbook>
</file>

<file path=xl/sharedStrings.xml><?xml version="1.0" encoding="utf-8"?>
<sst xmlns="http://schemas.openxmlformats.org/spreadsheetml/2006/main" count="143" uniqueCount="50">
  <si>
    <t>Fine-Structure Energy Levels for S III</t>
  </si>
  <si>
    <t>S2</t>
  </si>
  <si>
    <t>S48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</si>
  <si>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</si>
  <si>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</si>
  <si>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</si>
  <si>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</si>
  <si>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</si>
  <si>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</si>
  <si>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</si>
  <si>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</si>
  <si>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</si>
  <si>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E(cm-1)</t>
  </si>
  <si>
    <t>3s2.3p2</t>
  </si>
  <si>
    <t>3P</t>
  </si>
  <si>
    <t>1D</t>
  </si>
  <si>
    <t>1S</t>
  </si>
  <si>
    <t>3s.3p3</t>
  </si>
  <si>
    <t>5S*</t>
  </si>
  <si>
    <t>3D*</t>
  </si>
  <si>
    <t>3P*</t>
  </si>
  <si>
    <t>3s2.3p.3d</t>
  </si>
  <si>
    <t>1D*</t>
  </si>
  <si>
    <t>3F*</t>
  </si>
  <si>
    <t>1P*</t>
  </si>
  <si>
    <t>3S*</t>
  </si>
  <si>
    <t>3s2.3p.4s</t>
  </si>
  <si>
    <t>1F*</t>
  </si>
  <si>
    <t>3s2.3p.4p</t>
  </si>
  <si>
    <t>1P</t>
  </si>
  <si>
    <t>3D</t>
  </si>
  <si>
    <t>3S</t>
  </si>
  <si>
    <t>3s.3p2.3d</t>
  </si>
  <si>
    <t>A-values for fine-structure transitions  in S III</t>
  </si>
  <si>
    <t>S49</t>
  </si>
  <si>
    <t>k</t>
  </si>
  <si>
    <t>WL Vac (A)</t>
  </si>
  <si>
    <t>AE1 (s-1)</t>
  </si>
  <si>
    <t>AE2 (s-1)</t>
  </si>
  <si>
    <t>AM1 (s-1)</t>
  </si>
  <si>
    <t>AM2 (s-1)</t>
  </si>
  <si>
    <t>Effective Collision Strengths for S III</t>
  </si>
  <si>
    <t>S50</t>
  </si>
  <si>
    <t>S51</t>
  </si>
  <si>
    <t>S52</t>
  </si>
  <si>
    <t>np</t>
  </si>
  <si>
    <t>Log_T(K)</t>
  </si>
  <si>
    <t>EColSt</t>
  </si>
  <si>
    <t>Collision Strengths for S III</t>
  </si>
  <si>
    <t>Link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</si>
</sst>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15.7109375" customWidth="1"/>
    <col min="4" max="4" width="10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15.7109375" customWidth="1"/>
    <col min="10" max="10" width="10.7109375" customWidth="1"/>
    <col min="11" max="11" width="9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  <c r="K2" s="2" t="s">
        <v>2</v>
      </c>
    </row>
    <row r="3" spans="1:1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12</v>
      </c>
    </row>
    <row r="4" spans="1:11">
      <c r="A4" s="3">
        <v>16</v>
      </c>
      <c r="B4" s="3">
        <v>14</v>
      </c>
      <c r="C4" s="3">
        <v>1</v>
      </c>
      <c r="D4" s="3" t="s">
        <v>13</v>
      </c>
      <c r="E4" s="3" t="s">
        <v>14</v>
      </c>
      <c r="F4" s="3">
        <v>3</v>
      </c>
      <c r="G4" s="3">
        <v>1</v>
      </c>
      <c r="H4" s="3">
        <v>0</v>
      </c>
      <c r="I4" s="3">
        <v>0</v>
      </c>
      <c r="J4" s="4" t="str">
        <f>HYPERLINK("http://141.218.60.56/~jnz1568/getInfo.php?workbook=16_14.xlsx&amp;sheet=E0&amp;row=4&amp;col=10&amp;number=0&amp;sourceID=2","0")</f>
        <v>0</v>
      </c>
      <c r="K4" s="4" t="str">
        <f>HYPERLINK("http://141.218.60.56/~jnz1568/getInfo.php?workbook=16_14.xlsx&amp;sheet=E0&amp;row=4&amp;col=11&amp;number=0&amp;sourceID=48","0")</f>
        <v>0</v>
      </c>
    </row>
    <row r="5" spans="1:11">
      <c r="A5" s="3">
        <v>16</v>
      </c>
      <c r="B5" s="3">
        <v>14</v>
      </c>
      <c r="C5" s="3">
        <f>C4+1</f>
        <v>0</v>
      </c>
      <c r="D5" s="3" t="s">
        <v>13</v>
      </c>
      <c r="E5" s="3" t="s">
        <v>14</v>
      </c>
      <c r="F5" s="3">
        <v>3</v>
      </c>
      <c r="G5" s="3">
        <v>1</v>
      </c>
      <c r="H5" s="3">
        <v>0</v>
      </c>
      <c r="I5" s="3">
        <v>1</v>
      </c>
      <c r="J5" s="4" t="str">
        <f>HYPERLINK("http://141.218.60.56/~jnz1568/getInfo.php?workbook=16_14.xlsx&amp;sheet=E0&amp;row=5&amp;col=10&amp;number=298.69&amp;sourceID=2","298.69")</f>
        <v>298.69</v>
      </c>
      <c r="K5" s="4" t="str">
        <f>HYPERLINK("http://141.218.60.56/~jnz1568/getInfo.php?workbook=16_14.xlsx&amp;sheet=E0&amp;row=5&amp;col=11&amp;number=266.93&amp;sourceID=48","266.93")</f>
        <v>266.93</v>
      </c>
    </row>
    <row r="6" spans="1:11">
      <c r="A6" s="3">
        <v>16</v>
      </c>
      <c r="B6" s="3">
        <v>14</v>
      </c>
      <c r="C6" s="3">
        <f/>
        <v>0</v>
      </c>
      <c r="D6" s="3" t="s">
        <v>13</v>
      </c>
      <c r="E6" s="3" t="s">
        <v>14</v>
      </c>
      <c r="F6" s="3">
        <v>3</v>
      </c>
      <c r="G6" s="3">
        <v>1</v>
      </c>
      <c r="H6" s="3">
        <v>0</v>
      </c>
      <c r="I6" s="3">
        <v>2</v>
      </c>
      <c r="J6" s="4" t="str">
        <f>HYPERLINK("http://141.218.60.56/~jnz1568/getInfo.php?workbook=16_14.xlsx&amp;sheet=E0&amp;row=6&amp;col=10&amp;number=833.08&amp;sourceID=2","833.08")</f>
        <v>833.08</v>
      </c>
      <c r="K6" s="4" t="str">
        <f>HYPERLINK("http://141.218.60.56/~jnz1568/getInfo.php?workbook=16_14.xlsx&amp;sheet=E0&amp;row=6&amp;col=11&amp;number=740.37&amp;sourceID=48","740.37")</f>
        <v>740.37</v>
      </c>
    </row>
    <row r="7" spans="1:11">
      <c r="A7" s="3">
        <v>16</v>
      </c>
      <c r="B7" s="3">
        <v>14</v>
      </c>
      <c r="C7" s="3">
        <f/>
        <v>0</v>
      </c>
      <c r="D7" s="3" t="s">
        <v>13</v>
      </c>
      <c r="E7" s="3" t="s">
        <v>15</v>
      </c>
      <c r="F7" s="3">
        <v>1</v>
      </c>
      <c r="G7" s="3">
        <v>2</v>
      </c>
      <c r="H7" s="3">
        <v>0</v>
      </c>
      <c r="I7" s="3">
        <v>2</v>
      </c>
      <c r="J7" s="4" t="str">
        <f>HYPERLINK("http://141.218.60.56/~jnz1568/getInfo.php?workbook=16_14.xlsx&amp;sheet=E0&amp;row=7&amp;col=10&amp;number=11322.7&amp;sourceID=2","11322.7")</f>
        <v>11322.7</v>
      </c>
      <c r="K7" s="4" t="str">
        <f>HYPERLINK("http://141.218.60.56/~jnz1568/getInfo.php?workbook=16_14.xlsx&amp;sheet=E0&amp;row=7&amp;col=11&amp;number=11484.71&amp;sourceID=48","11484.71")</f>
        <v>11484.71</v>
      </c>
    </row>
    <row r="8" spans="1:11">
      <c r="A8" s="3">
        <v>16</v>
      </c>
      <c r="B8" s="3">
        <v>14</v>
      </c>
      <c r="C8" s="3">
        <f/>
        <v>0</v>
      </c>
      <c r="D8" s="3" t="s">
        <v>13</v>
      </c>
      <c r="E8" s="3" t="s">
        <v>16</v>
      </c>
      <c r="F8" s="3">
        <v>1</v>
      </c>
      <c r="G8" s="3">
        <v>0</v>
      </c>
      <c r="H8" s="3">
        <v>0</v>
      </c>
      <c r="I8" s="3">
        <v>0</v>
      </c>
      <c r="J8" s="4" t="str">
        <f>HYPERLINK("http://141.218.60.56/~jnz1568/getInfo.php?workbook=16_14.xlsx&amp;sheet=E0&amp;row=8&amp;col=10&amp;number=27161&amp;sourceID=2","27161")</f>
        <v>27161</v>
      </c>
      <c r="K8" s="4" t="str">
        <f>HYPERLINK("http://141.218.60.56/~jnz1568/getInfo.php?workbook=16_14.xlsx&amp;sheet=E0&amp;row=8&amp;col=11&amp;number=27478.72&amp;sourceID=48","27478.72")</f>
        <v>27478.72</v>
      </c>
    </row>
    <row r="9" spans="1:11">
      <c r="A9" s="3">
        <v>16</v>
      </c>
      <c r="B9" s="3">
        <v>14</v>
      </c>
      <c r="C9" s="3">
        <f/>
        <v>0</v>
      </c>
      <c r="D9" s="3" t="s">
        <v>17</v>
      </c>
      <c r="E9" s="3" t="s">
        <v>18</v>
      </c>
      <c r="F9" s="3">
        <v>5</v>
      </c>
      <c r="G9" s="3">
        <v>0</v>
      </c>
      <c r="H9" s="3">
        <v>1</v>
      </c>
      <c r="I9" s="3">
        <v>2</v>
      </c>
      <c r="J9" s="4" t="str">
        <f>HYPERLINK("http://141.218.60.56/~jnz1568/getInfo.php?workbook=16_14.xlsx&amp;sheet=E0&amp;row=9&amp;col=10&amp;number=58671.92&amp;sourceID=2","58671.92")</f>
        <v>58671.92</v>
      </c>
      <c r="K9" s="4" t="str">
        <f>HYPERLINK("http://141.218.60.56/~jnz1568/getInfo.php?workbook=16_14.xlsx&amp;sheet=E0&amp;row=9&amp;col=11&amp;number=57405.68&amp;sourceID=48","57405.68")</f>
        <v>57405.68</v>
      </c>
    </row>
    <row r="10" spans="1:11">
      <c r="A10" s="3">
        <v>16</v>
      </c>
      <c r="B10" s="3">
        <v>14</v>
      </c>
      <c r="C10" s="3">
        <f/>
        <v>0</v>
      </c>
      <c r="D10" s="3" t="s">
        <v>17</v>
      </c>
      <c r="E10" s="3" t="s">
        <v>19</v>
      </c>
      <c r="F10" s="3">
        <v>3</v>
      </c>
      <c r="G10" s="3">
        <v>2</v>
      </c>
      <c r="H10" s="3">
        <v>1</v>
      </c>
      <c r="I10" s="3">
        <v>1</v>
      </c>
      <c r="J10" s="4" t="str">
        <f>HYPERLINK("http://141.218.60.56/~jnz1568/getInfo.php?workbook=16_14.xlsx&amp;sheet=E0&amp;row=10&amp;col=10&amp;number=84019.3&amp;sourceID=2","84019.3")</f>
        <v>84019.3</v>
      </c>
      <c r="K10" s="4" t="str">
        <f>HYPERLINK("http://141.218.60.56/~jnz1568/getInfo.php?workbook=16_14.xlsx&amp;sheet=E0&amp;row=10&amp;col=11&amp;number=83322.25&amp;sourceID=48","83322.25")</f>
        <v>83322.25</v>
      </c>
    </row>
    <row r="11" spans="1:11">
      <c r="A11" s="3">
        <v>16</v>
      </c>
      <c r="B11" s="3">
        <v>14</v>
      </c>
      <c r="C11" s="3">
        <f/>
        <v>0</v>
      </c>
      <c r="D11" s="3" t="s">
        <v>17</v>
      </c>
      <c r="E11" s="3" t="s">
        <v>19</v>
      </c>
      <c r="F11" s="3">
        <v>3</v>
      </c>
      <c r="G11" s="3">
        <v>2</v>
      </c>
      <c r="H11" s="3">
        <v>1</v>
      </c>
      <c r="I11" s="3">
        <v>2</v>
      </c>
      <c r="J11" s="4" t="str">
        <f>HYPERLINK("http://141.218.60.56/~jnz1568/getInfo.php?workbook=16_14.xlsx&amp;sheet=E0&amp;row=11&amp;col=10&amp;number=84046.7&amp;sourceID=2","84046.7")</f>
        <v>84046.7</v>
      </c>
      <c r="K11" s="4" t="str">
        <f>HYPERLINK("http://141.218.60.56/~jnz1568/getInfo.php?workbook=16_14.xlsx&amp;sheet=E0&amp;row=11&amp;col=11&amp;number=83347.36&amp;sourceID=48","83347.36")</f>
        <v>83347.36</v>
      </c>
    </row>
    <row r="12" spans="1:11">
      <c r="A12" s="3">
        <v>16</v>
      </c>
      <c r="B12" s="3">
        <v>14</v>
      </c>
      <c r="C12" s="3">
        <f/>
        <v>0</v>
      </c>
      <c r="D12" s="3" t="s">
        <v>17</v>
      </c>
      <c r="E12" s="3" t="s">
        <v>19</v>
      </c>
      <c r="F12" s="3">
        <v>3</v>
      </c>
      <c r="G12" s="3">
        <v>2</v>
      </c>
      <c r="H12" s="3">
        <v>1</v>
      </c>
      <c r="I12" s="3">
        <v>3</v>
      </c>
      <c r="J12" s="4" t="str">
        <f>HYPERLINK("http://141.218.60.56/~jnz1568/getInfo.php?workbook=16_14.xlsx&amp;sheet=E0&amp;row=12&amp;col=10&amp;number=84099.4&amp;sourceID=2","84099.4")</f>
        <v>84099.4</v>
      </c>
      <c r="K12" s="4" t="str">
        <f>HYPERLINK("http://141.218.60.56/~jnz1568/getInfo.php?workbook=16_14.xlsx&amp;sheet=E0&amp;row=12&amp;col=11&amp;number=83392.08&amp;sourceID=48","83392.08")</f>
        <v>83392.08</v>
      </c>
    </row>
    <row r="13" spans="1:11">
      <c r="A13" s="3">
        <v>16</v>
      </c>
      <c r="B13" s="3">
        <v>14</v>
      </c>
      <c r="C13" s="3">
        <f/>
        <v>0</v>
      </c>
      <c r="D13" s="3" t="s">
        <v>17</v>
      </c>
      <c r="E13" s="3" t="s">
        <v>20</v>
      </c>
      <c r="F13" s="3">
        <v>3</v>
      </c>
      <c r="G13" s="3">
        <v>1</v>
      </c>
      <c r="H13" s="3">
        <v>1</v>
      </c>
      <c r="I13" s="3">
        <v>2</v>
      </c>
      <c r="J13" s="4" t="str">
        <f>HYPERLINK("http://141.218.60.56/~jnz1568/getInfo.php?workbook=16_14.xlsx&amp;sheet=E0&amp;row=13&amp;col=10&amp;number=98745.3&amp;sourceID=2","98745.3")</f>
        <v>98745.3</v>
      </c>
      <c r="K13" s="4" t="str">
        <f>HYPERLINK("http://141.218.60.56/~jnz1568/getInfo.php?workbook=16_14.xlsx&amp;sheet=E0&amp;row=13&amp;col=11&amp;number=98349.37&amp;sourceID=48","98349.37")</f>
        <v>98349.37</v>
      </c>
    </row>
    <row r="14" spans="1:11">
      <c r="A14" s="3">
        <v>16</v>
      </c>
      <c r="B14" s="3">
        <v>14</v>
      </c>
      <c r="C14" s="3">
        <f/>
        <v>0</v>
      </c>
      <c r="D14" s="3" t="s">
        <v>17</v>
      </c>
      <c r="E14" s="3" t="s">
        <v>20</v>
      </c>
      <c r="F14" s="3">
        <v>3</v>
      </c>
      <c r="G14" s="3">
        <v>1</v>
      </c>
      <c r="H14" s="3">
        <v>1</v>
      </c>
      <c r="I14" s="3">
        <v>1</v>
      </c>
      <c r="J14" s="4" t="str">
        <f>HYPERLINK("http://141.218.60.56/~jnz1568/getInfo.php?workbook=16_14.xlsx&amp;sheet=E0&amp;row=14&amp;col=10&amp;number=98765.9&amp;sourceID=2","98765.9")</f>
        <v>98765.9</v>
      </c>
      <c r="K14" s="4" t="str">
        <f>HYPERLINK("http://141.218.60.56/~jnz1568/getInfo.php?workbook=16_14.xlsx&amp;sheet=E0&amp;row=14&amp;col=11&amp;number=98379.95&amp;sourceID=48","98379.95")</f>
        <v>98379.95</v>
      </c>
    </row>
    <row r="15" spans="1:11">
      <c r="A15" s="3">
        <v>16</v>
      </c>
      <c r="B15" s="3">
        <v>14</v>
      </c>
      <c r="C15" s="3">
        <f/>
        <v>0</v>
      </c>
      <c r="D15" s="3" t="s">
        <v>17</v>
      </c>
      <c r="E15" s="3" t="s">
        <v>20</v>
      </c>
      <c r="F15" s="3">
        <v>3</v>
      </c>
      <c r="G15" s="3">
        <v>1</v>
      </c>
      <c r="H15" s="3">
        <v>1</v>
      </c>
      <c r="I15" s="3">
        <v>0</v>
      </c>
      <c r="J15" s="4" t="str">
        <f>HYPERLINK("http://141.218.60.56/~jnz1568/getInfo.php?workbook=16_14.xlsx&amp;sheet=E0&amp;row=15&amp;col=10&amp;number=98772.2&amp;sourceID=2","98772.2")</f>
        <v>98772.2</v>
      </c>
      <c r="K15" s="4" t="str">
        <f>HYPERLINK("http://141.218.60.56/~jnz1568/getInfo.php?workbook=16_14.xlsx&amp;sheet=E0&amp;row=15&amp;col=11&amp;number=98388.35&amp;sourceID=48","98388.35")</f>
        <v>98388.35</v>
      </c>
    </row>
    <row r="16" spans="1:11">
      <c r="A16" s="3">
        <v>16</v>
      </c>
      <c r="B16" s="3">
        <v>14</v>
      </c>
      <c r="C16" s="3">
        <f/>
        <v>0</v>
      </c>
      <c r="D16" s="3" t="s">
        <v>21</v>
      </c>
      <c r="E16" s="3" t="s">
        <v>22</v>
      </c>
      <c r="F16" s="3">
        <v>1</v>
      </c>
      <c r="G16" s="3">
        <v>2</v>
      </c>
      <c r="H16" s="3">
        <v>1</v>
      </c>
      <c r="I16" s="3">
        <v>2</v>
      </c>
      <c r="J16" s="4" t="str">
        <f>HYPERLINK("http://141.218.60.56/~jnz1568/getInfo.php?workbook=16_14.xlsx&amp;sheet=E0&amp;row=16&amp;col=10&amp;number=104159.7&amp;sourceID=2","104159.7")</f>
        <v>104159.7</v>
      </c>
      <c r="K16" s="4" t="str">
        <f>HYPERLINK("http://141.218.60.56/~jnz1568/getInfo.php?workbook=16_14.xlsx&amp;sheet=E0&amp;row=16&amp;col=11&amp;number=103950&amp;sourceID=48","103950")</f>
        <v>103950</v>
      </c>
    </row>
    <row r="17" spans="1:11">
      <c r="A17" s="3">
        <v>16</v>
      </c>
      <c r="B17" s="3">
        <v>14</v>
      </c>
      <c r="C17" s="3">
        <f/>
        <v>0</v>
      </c>
      <c r="D17" s="3" t="s">
        <v>21</v>
      </c>
      <c r="E17" s="3" t="s">
        <v>23</v>
      </c>
      <c r="F17" s="3">
        <v>3</v>
      </c>
      <c r="G17" s="3">
        <v>3</v>
      </c>
      <c r="H17" s="3">
        <v>1</v>
      </c>
      <c r="I17" s="3">
        <v>2</v>
      </c>
      <c r="J17" s="4" t="str">
        <f>HYPERLINK("http://141.218.60.56/~jnz1568/getInfo.php?workbook=16_14.xlsx&amp;sheet=E0&amp;row=17&amp;col=10&amp;number=122118.5&amp;sourceID=2","122118.5")</f>
        <v>122118.5</v>
      </c>
      <c r="K17" s="4" t="str">
        <f>HYPERLINK("http://141.218.60.56/~jnz1568/getInfo.php?workbook=16_14.xlsx&amp;sheet=E0&amp;row=17&amp;col=11&amp;number=122218.3&amp;sourceID=48","122218.3")</f>
        <v>122218.3</v>
      </c>
    </row>
    <row r="18" spans="1:11">
      <c r="A18" s="3">
        <v>16</v>
      </c>
      <c r="B18" s="3">
        <v>14</v>
      </c>
      <c r="C18" s="3">
        <f/>
        <v>0</v>
      </c>
      <c r="D18" s="3" t="s">
        <v>21</v>
      </c>
      <c r="E18" s="3" t="s">
        <v>23</v>
      </c>
      <c r="F18" s="3">
        <v>3</v>
      </c>
      <c r="G18" s="3">
        <v>3</v>
      </c>
      <c r="H18" s="3">
        <v>1</v>
      </c>
      <c r="I18" s="3">
        <v>3</v>
      </c>
      <c r="J18" s="4" t="str">
        <f>HYPERLINK("http://141.218.60.56/~jnz1568/getInfo.php?workbook=16_14.xlsx&amp;sheet=E0&amp;row=18&amp;col=10&amp;number=122404&amp;sourceID=2","122404")</f>
        <v>122404</v>
      </c>
      <c r="K18" s="4" t="str">
        <f>HYPERLINK("http://141.218.60.56/~jnz1568/getInfo.php?workbook=16_14.xlsx&amp;sheet=E0&amp;row=18&amp;col=11&amp;number=122477&amp;sourceID=48","122477")</f>
        <v>122477</v>
      </c>
    </row>
    <row r="19" spans="1:11">
      <c r="A19" s="3">
        <v>16</v>
      </c>
      <c r="B19" s="3">
        <v>14</v>
      </c>
      <c r="C19" s="3">
        <f/>
        <v>0</v>
      </c>
      <c r="D19" s="3" t="s">
        <v>21</v>
      </c>
      <c r="E19" s="3" t="s">
        <v>23</v>
      </c>
      <c r="F19" s="3">
        <v>3</v>
      </c>
      <c r="G19" s="3">
        <v>3</v>
      </c>
      <c r="H19" s="3">
        <v>1</v>
      </c>
      <c r="I19" s="3">
        <v>4</v>
      </c>
      <c r="J19" s="4" t="str">
        <f>HYPERLINK("http://141.218.60.56/~jnz1568/getInfo.php?workbook=16_14.xlsx&amp;sheet=E0&amp;row=19&amp;col=10&amp;number=122798.6&amp;sourceID=2","122798.6")</f>
        <v>122798.6</v>
      </c>
      <c r="K19" s="4" t="str">
        <f>HYPERLINK("http://141.218.60.56/~jnz1568/getInfo.php?workbook=16_14.xlsx&amp;sheet=E0&amp;row=19&amp;col=11&amp;number=122832.3&amp;sourceID=48","122832.3")</f>
        <v>122832.3</v>
      </c>
    </row>
    <row r="20" spans="1:11">
      <c r="A20" s="3">
        <v>16</v>
      </c>
      <c r="B20" s="3">
        <v>14</v>
      </c>
      <c r="C20" s="3">
        <f/>
        <v>0</v>
      </c>
      <c r="D20" s="3" t="s">
        <v>17</v>
      </c>
      <c r="E20" s="3" t="s">
        <v>24</v>
      </c>
      <c r="F20" s="3">
        <v>1</v>
      </c>
      <c r="G20" s="3">
        <v>1</v>
      </c>
      <c r="H20" s="3">
        <v>1</v>
      </c>
      <c r="I20" s="3">
        <v>1</v>
      </c>
      <c r="J20" s="4" t="str">
        <f>HYPERLINK("http://141.218.60.56/~jnz1568/getInfo.php?workbook=16_14.xlsx&amp;sheet=E0&amp;row=20&amp;col=10&amp;number=136843.78&amp;sourceID=2","136843.78")</f>
        <v>136843.78</v>
      </c>
      <c r="K20" s="4" t="str">
        <f>HYPERLINK("http://141.218.60.56/~jnz1568/getInfo.php?workbook=16_14.xlsx&amp;sheet=E0&amp;row=20&amp;col=11&amp;number=137992.7&amp;sourceID=48","137992.7")</f>
        <v>137992.7</v>
      </c>
    </row>
    <row r="21" spans="1:11">
      <c r="A21" s="3">
        <v>16</v>
      </c>
      <c r="B21" s="3">
        <v>14</v>
      </c>
      <c r="C21" s="3">
        <f/>
        <v>0</v>
      </c>
      <c r="D21" s="3" t="s">
        <v>17</v>
      </c>
      <c r="E21" s="3" t="s">
        <v>25</v>
      </c>
      <c r="F21" s="3">
        <v>3</v>
      </c>
      <c r="G21" s="3">
        <v>0</v>
      </c>
      <c r="H21" s="3">
        <v>1</v>
      </c>
      <c r="I21" s="3">
        <v>1</v>
      </c>
      <c r="J21" s="4" t="str">
        <f>HYPERLINK("http://141.218.60.56/~jnz1568/getInfo.php?workbook=16_14.xlsx&amp;sheet=E0&amp;row=21&amp;col=10&amp;number=138066.6&amp;sourceID=2","138066.6")</f>
        <v>138066.6</v>
      </c>
      <c r="K21" s="4" t="str">
        <f>HYPERLINK("http://141.218.60.56/~jnz1568/getInfo.php?workbook=16_14.xlsx&amp;sheet=E0&amp;row=21&amp;col=11&amp;number=139914.1&amp;sourceID=48","139914.1")</f>
        <v>139914.1</v>
      </c>
    </row>
    <row r="22" spans="1:11">
      <c r="A22" s="3">
        <v>16</v>
      </c>
      <c r="B22" s="3">
        <v>14</v>
      </c>
      <c r="C22" s="3">
        <f/>
        <v>0</v>
      </c>
      <c r="D22" s="3" t="s">
        <v>21</v>
      </c>
      <c r="E22" s="3" t="s">
        <v>20</v>
      </c>
      <c r="F22" s="3">
        <v>3</v>
      </c>
      <c r="G22" s="3">
        <v>1</v>
      </c>
      <c r="H22" s="3">
        <v>1</v>
      </c>
      <c r="I22" s="3">
        <v>0</v>
      </c>
      <c r="J22" s="4" t="str">
        <f>HYPERLINK("http://141.218.60.56/~jnz1568/getInfo.php?workbook=16_14.xlsx&amp;sheet=E0&amp;row=22&amp;col=10&amp;number=143097.08&amp;sourceID=2","143097.08")</f>
        <v>143097.08</v>
      </c>
      <c r="K22" s="4" t="str">
        <f>HYPERLINK("http://141.218.60.56/~jnz1568/getInfo.php?workbook=16_14.xlsx&amp;sheet=E0&amp;row=22&amp;col=11&amp;number=143066.1&amp;sourceID=48","143066.1")</f>
        <v>143066.1</v>
      </c>
    </row>
    <row r="23" spans="1:11">
      <c r="A23" s="3">
        <v>16</v>
      </c>
      <c r="B23" s="3">
        <v>14</v>
      </c>
      <c r="C23" s="3">
        <f/>
        <v>0</v>
      </c>
      <c r="D23" s="3" t="s">
        <v>21</v>
      </c>
      <c r="E23" s="3" t="s">
        <v>20</v>
      </c>
      <c r="F23" s="3">
        <v>3</v>
      </c>
      <c r="G23" s="3">
        <v>1</v>
      </c>
      <c r="H23" s="3">
        <v>1</v>
      </c>
      <c r="I23" s="3">
        <v>1</v>
      </c>
      <c r="J23" s="4" t="str">
        <f>HYPERLINK("http://141.218.60.56/~jnz1568/getInfo.php?workbook=16_14.xlsx&amp;sheet=E0&amp;row=23&amp;col=10&amp;number=143117.41&amp;sourceID=2","143117.41")</f>
        <v>143117.41</v>
      </c>
      <c r="K23" s="4" t="str">
        <f>HYPERLINK("http://141.218.60.56/~jnz1568/getInfo.php?workbook=16_14.xlsx&amp;sheet=E0&amp;row=23&amp;col=11&amp;number=143133.8&amp;sourceID=48","143133.8")</f>
        <v>143133.8</v>
      </c>
    </row>
    <row r="24" spans="1:11">
      <c r="A24" s="3">
        <v>16</v>
      </c>
      <c r="B24" s="3">
        <v>14</v>
      </c>
      <c r="C24" s="3">
        <f/>
        <v>0</v>
      </c>
      <c r="D24" s="3" t="s">
        <v>21</v>
      </c>
      <c r="E24" s="3" t="s">
        <v>20</v>
      </c>
      <c r="F24" s="3">
        <v>3</v>
      </c>
      <c r="G24" s="3">
        <v>1</v>
      </c>
      <c r="H24" s="3">
        <v>1</v>
      </c>
      <c r="I24" s="3">
        <v>2</v>
      </c>
      <c r="J24" s="4" t="str">
        <f>HYPERLINK("http://141.218.60.56/~jnz1568/getInfo.php?workbook=16_14.xlsx&amp;sheet=E0&amp;row=24&amp;col=10&amp;number=143125.28&amp;sourceID=2","143125.28")</f>
        <v>143125.28</v>
      </c>
      <c r="K24" s="4" t="str">
        <f>HYPERLINK("http://141.218.60.56/~jnz1568/getInfo.php?workbook=16_14.xlsx&amp;sheet=E0&amp;row=24&amp;col=11&amp;number=143255.4&amp;sourceID=48","143255.4")</f>
        <v>143255.4</v>
      </c>
    </row>
    <row r="25" spans="1:11">
      <c r="A25" s="3">
        <v>16</v>
      </c>
      <c r="B25" s="3">
        <v>14</v>
      </c>
      <c r="C25" s="3">
        <f/>
        <v>0</v>
      </c>
      <c r="D25" s="3" t="s">
        <v>26</v>
      </c>
      <c r="E25" s="3" t="s">
        <v>20</v>
      </c>
      <c r="F25" s="3">
        <v>3</v>
      </c>
      <c r="G25" s="3">
        <v>1</v>
      </c>
      <c r="H25" s="3">
        <v>1</v>
      </c>
      <c r="I25" s="3">
        <v>0</v>
      </c>
      <c r="J25" s="4" t="str">
        <f>HYPERLINK("http://141.218.60.56/~jnz1568/getInfo.php?workbook=16_14.xlsx&amp;sheet=E0&amp;row=25&amp;col=10&amp;number=146697.37&amp;sourceID=2","146697.37")</f>
        <v>146697.37</v>
      </c>
      <c r="K25" s="4" t="str">
        <f>HYPERLINK("http://141.218.60.56/~jnz1568/getInfo.php?workbook=16_14.xlsx&amp;sheet=E0&amp;row=25&amp;col=11&amp;number=147277&amp;sourceID=48","147277")</f>
        <v>147277</v>
      </c>
    </row>
    <row r="26" spans="1:11">
      <c r="A26" s="3">
        <v>16</v>
      </c>
      <c r="B26" s="3">
        <v>14</v>
      </c>
      <c r="C26" s="3">
        <f/>
        <v>0</v>
      </c>
      <c r="D26" s="3" t="s">
        <v>26</v>
      </c>
      <c r="E26" s="3" t="s">
        <v>20</v>
      </c>
      <c r="F26" s="3">
        <v>3</v>
      </c>
      <c r="G26" s="3">
        <v>1</v>
      </c>
      <c r="H26" s="3">
        <v>1</v>
      </c>
      <c r="I26" s="3">
        <v>1</v>
      </c>
      <c r="J26" s="4" t="str">
        <f>HYPERLINK("http://141.218.60.56/~jnz1568/getInfo.php?workbook=16_14.xlsx&amp;sheet=E0&amp;row=26&amp;col=10&amp;number=146737.55&amp;sourceID=2","146737.55")</f>
        <v>146737.55</v>
      </c>
      <c r="K26" s="4" t="str">
        <f>HYPERLINK("http://141.218.60.56/~jnz1568/getInfo.php?workbook=16_14.xlsx&amp;sheet=E0&amp;row=26&amp;col=11&amp;number=147261.6&amp;sourceID=48","147261.6")</f>
        <v>147261.6</v>
      </c>
    </row>
    <row r="27" spans="1:11">
      <c r="A27" s="3">
        <v>16</v>
      </c>
      <c r="B27" s="3">
        <v>14</v>
      </c>
      <c r="C27" s="3">
        <f/>
        <v>0</v>
      </c>
      <c r="D27" s="3" t="s">
        <v>26</v>
      </c>
      <c r="E27" s="3" t="s">
        <v>20</v>
      </c>
      <c r="F27" s="3">
        <v>3</v>
      </c>
      <c r="G27" s="3">
        <v>1</v>
      </c>
      <c r="H27" s="3">
        <v>1</v>
      </c>
      <c r="I27" s="3">
        <v>2</v>
      </c>
      <c r="J27" s="4" t="str">
        <f>HYPERLINK("http://141.218.60.56/~jnz1568/getInfo.php?workbook=16_14.xlsx&amp;sheet=E0&amp;row=27&amp;col=10&amp;number=147147.11&amp;sourceID=2","147147.11")</f>
        <v>147147.11</v>
      </c>
      <c r="K27" s="4" t="str">
        <f>HYPERLINK("http://141.218.60.56/~jnz1568/getInfo.php?workbook=16_14.xlsx&amp;sheet=E0&amp;row=27&amp;col=11&amp;number=147551.7&amp;sourceID=48","147551.7")</f>
        <v>147551.7</v>
      </c>
    </row>
    <row r="28" spans="1:11">
      <c r="A28" s="3">
        <v>16</v>
      </c>
      <c r="B28" s="3">
        <v>14</v>
      </c>
      <c r="C28" s="3">
        <f/>
        <v>0</v>
      </c>
      <c r="D28" s="3" t="s">
        <v>21</v>
      </c>
      <c r="E28" s="3" t="s">
        <v>19</v>
      </c>
      <c r="F28" s="3">
        <v>3</v>
      </c>
      <c r="G28" s="3">
        <v>2</v>
      </c>
      <c r="H28" s="3">
        <v>1</v>
      </c>
      <c r="I28" s="3">
        <v>1</v>
      </c>
      <c r="J28" s="4" t="str">
        <f>HYPERLINK("http://141.218.60.56/~jnz1568/getInfo.php?workbook=16_14.xlsx&amp;sheet=E0&amp;row=28&amp;col=10&amp;number=147551.6&amp;sourceID=2","147551.6")</f>
        <v>147551.6</v>
      </c>
      <c r="K28" s="4" t="str">
        <f>HYPERLINK("http://141.218.60.56/~jnz1568/getInfo.php?workbook=16_14.xlsx&amp;sheet=E0&amp;row=28&amp;col=11&amp;number=148380.9&amp;sourceID=48","148380.9")</f>
        <v>148380.9</v>
      </c>
    </row>
    <row r="29" spans="1:11">
      <c r="A29" s="3">
        <v>16</v>
      </c>
      <c r="B29" s="3">
        <v>14</v>
      </c>
      <c r="C29" s="3">
        <f/>
        <v>0</v>
      </c>
      <c r="D29" s="3" t="s">
        <v>21</v>
      </c>
      <c r="E29" s="3" t="s">
        <v>19</v>
      </c>
      <c r="F29" s="3">
        <v>3</v>
      </c>
      <c r="G29" s="3">
        <v>2</v>
      </c>
      <c r="H29" s="3">
        <v>1</v>
      </c>
      <c r="I29" s="3">
        <v>2</v>
      </c>
      <c r="J29" s="4" t="str">
        <f>HYPERLINK("http://141.218.60.56/~jnz1568/getInfo.php?workbook=16_14.xlsx&amp;sheet=E0&amp;row=29&amp;col=10&amp;number=147692.21&amp;sourceID=2","147692.21")</f>
        <v>147692.21</v>
      </c>
      <c r="K29" s="4" t="str">
        <f>HYPERLINK("http://141.218.60.56/~jnz1568/getInfo.php?workbook=16_14.xlsx&amp;sheet=E0&amp;row=29&amp;col=11&amp;number=148496.6&amp;sourceID=48","148496.6")</f>
        <v>148496.6</v>
      </c>
    </row>
    <row r="30" spans="1:11">
      <c r="A30" s="3">
        <v>16</v>
      </c>
      <c r="B30" s="3">
        <v>14</v>
      </c>
      <c r="C30" s="3">
        <f/>
        <v>0</v>
      </c>
      <c r="D30" s="3" t="s">
        <v>21</v>
      </c>
      <c r="E30" s="3" t="s">
        <v>19</v>
      </c>
      <c r="F30" s="3">
        <v>3</v>
      </c>
      <c r="G30" s="3">
        <v>2</v>
      </c>
      <c r="H30" s="3">
        <v>1</v>
      </c>
      <c r="I30" s="3">
        <v>3</v>
      </c>
      <c r="J30" s="4" t="str">
        <f>HYPERLINK("http://141.218.60.56/~jnz1568/getInfo.php?workbook=16_14.xlsx&amp;sheet=E0&amp;row=30&amp;col=10&amp;number=147745.7&amp;sourceID=2","147745.7")</f>
        <v>147745.7</v>
      </c>
      <c r="K30" s="4" t="str">
        <f>HYPERLINK("http://141.218.60.56/~jnz1568/getInfo.php?workbook=16_14.xlsx&amp;sheet=E0&amp;row=30&amp;col=11&amp;number=148571.2&amp;sourceID=48","148571.2")</f>
        <v>148571.2</v>
      </c>
    </row>
    <row r="31" spans="1:11">
      <c r="A31" s="3">
        <v>16</v>
      </c>
      <c r="B31" s="3">
        <v>14</v>
      </c>
      <c r="C31" s="3">
        <f/>
        <v>0</v>
      </c>
      <c r="D31" s="3" t="s">
        <v>26</v>
      </c>
      <c r="E31" s="3" t="s">
        <v>24</v>
      </c>
      <c r="F31" s="3">
        <v>1</v>
      </c>
      <c r="G31" s="3">
        <v>1</v>
      </c>
      <c r="H31" s="3">
        <v>1</v>
      </c>
      <c r="I31" s="3">
        <v>1</v>
      </c>
      <c r="J31" s="4" t="str">
        <f>HYPERLINK("http://141.218.60.56/~jnz1568/getInfo.php?workbook=16_14.xlsx&amp;sheet=E0&amp;row=31&amp;col=10&amp;number=148398.97&amp;sourceID=2","148398.97")</f>
        <v>148398.97</v>
      </c>
      <c r="K31" s="4" t="str">
        <f>HYPERLINK("http://141.218.60.56/~jnz1568/getInfo.php?workbook=16_14.xlsx&amp;sheet=E0&amp;row=31&amp;col=11&amp;number=148353.8&amp;sourceID=48","148353.8")</f>
        <v>148353.8</v>
      </c>
    </row>
    <row r="32" spans="1:11">
      <c r="A32" s="3">
        <v>16</v>
      </c>
      <c r="B32" s="3">
        <v>14</v>
      </c>
      <c r="C32" s="3">
        <f/>
        <v>0</v>
      </c>
      <c r="D32" s="3" t="s">
        <v>17</v>
      </c>
      <c r="E32" s="3" t="s">
        <v>22</v>
      </c>
      <c r="F32" s="3">
        <v>1</v>
      </c>
      <c r="G32" s="3">
        <v>2</v>
      </c>
      <c r="H32" s="3">
        <v>1</v>
      </c>
      <c r="I32" s="3">
        <v>2</v>
      </c>
      <c r="J32" s="4" t="str">
        <f>HYPERLINK("http://141.218.60.56/~jnz1568/getInfo.php?workbook=16_14.xlsx&amp;sheet=E0&amp;row=32&amp;col=10&amp;number=151978.54&amp;sourceID=2","151978.54")</f>
        <v>151978.54</v>
      </c>
      <c r="K32" s="4" t="str">
        <f>HYPERLINK("http://141.218.60.56/~jnz1568/getInfo.php?workbook=16_14.xlsx&amp;sheet=E0&amp;row=32&amp;col=11&amp;number=153516.1&amp;sourceID=48","153516.1")</f>
        <v>153516.1</v>
      </c>
    </row>
    <row r="33" spans="1:11">
      <c r="A33" s="3">
        <v>16</v>
      </c>
      <c r="B33" s="3">
        <v>14</v>
      </c>
      <c r="C33" s="3">
        <f/>
        <v>0</v>
      </c>
      <c r="D33" s="3" t="s">
        <v>21</v>
      </c>
      <c r="E33" s="3" t="s">
        <v>27</v>
      </c>
      <c r="F33" s="3">
        <v>1</v>
      </c>
      <c r="G33" s="3">
        <v>3</v>
      </c>
      <c r="H33" s="3">
        <v>1</v>
      </c>
      <c r="I33" s="3">
        <v>3</v>
      </c>
      <c r="J33" s="4" t="str">
        <f>HYPERLINK("http://141.218.60.56/~jnz1568/getInfo.php?workbook=16_14.xlsx&amp;sheet=E0&amp;row=33&amp;col=10&amp;number=157610.31&amp;sourceID=2","157610.31")</f>
        <v>157610.31</v>
      </c>
      <c r="K33" s="4" t="str">
        <f>HYPERLINK("http://141.218.60.56/~jnz1568/getInfo.php?workbook=16_14.xlsx&amp;sheet=E0&amp;row=33&amp;col=11&amp;number=158436.5&amp;sourceID=48","158436.5")</f>
        <v>158436.5</v>
      </c>
    </row>
    <row r="34" spans="1:11">
      <c r="A34" s="3">
        <v>16</v>
      </c>
      <c r="B34" s="3">
        <v>14</v>
      </c>
      <c r="C34" s="3">
        <f/>
        <v>0</v>
      </c>
      <c r="D34" s="3" t="s">
        <v>21</v>
      </c>
      <c r="E34" s="3" t="s">
        <v>24</v>
      </c>
      <c r="F34" s="3">
        <v>1</v>
      </c>
      <c r="G34" s="3">
        <v>1</v>
      </c>
      <c r="H34" s="3">
        <v>1</v>
      </c>
      <c r="I34" s="3">
        <v>1</v>
      </c>
      <c r="J34" s="4" t="str">
        <f>HYPERLINK("http://141.218.60.56/~jnz1568/getInfo.php?workbook=16_14.xlsx&amp;sheet=E0&amp;row=34&amp;col=10&amp;number=164140.97&amp;sourceID=2","164140.97")</f>
        <v>164140.97</v>
      </c>
      <c r="K34" s="4" t="str">
        <f>HYPERLINK("http://141.218.60.56/~jnz1568/getInfo.php?workbook=16_14.xlsx&amp;sheet=E0&amp;row=34&amp;col=11&amp;number=166995.5&amp;sourceID=48","166995.5")</f>
        <v>166995.5</v>
      </c>
    </row>
    <row r="35" spans="1:11">
      <c r="A35" s="3">
        <v>16</v>
      </c>
      <c r="B35" s="3">
        <v>14</v>
      </c>
      <c r="C35" s="3">
        <f/>
        <v>0</v>
      </c>
      <c r="D35" s="3" t="s">
        <v>28</v>
      </c>
      <c r="E35" s="3" t="s">
        <v>29</v>
      </c>
      <c r="F35" s="3">
        <v>1</v>
      </c>
      <c r="G35" s="3">
        <v>1</v>
      </c>
      <c r="H35" s="3">
        <v>0</v>
      </c>
      <c r="I35" s="3">
        <v>1</v>
      </c>
      <c r="J35" s="4" t="str">
        <f>HYPERLINK("http://141.218.60.56/~jnz1568/getInfo.php?workbook=16_14.xlsx&amp;sheet=E0&amp;row=35&amp;col=10&amp;number=167553.27&amp;sourceID=2","167553.27")</f>
        <v>167553.27</v>
      </c>
      <c r="K35" s="4" t="str">
        <f>HYPERLINK("http://141.218.60.56/~jnz1568/getInfo.php?workbook=16_14.xlsx&amp;sheet=E0&amp;row=35&amp;col=11&amp;number=167407.4&amp;sourceID=48","167407.4")</f>
        <v>167407.4</v>
      </c>
    </row>
    <row r="36" spans="1:11">
      <c r="A36" s="3">
        <v>16</v>
      </c>
      <c r="B36" s="3">
        <v>14</v>
      </c>
      <c r="C36" s="3">
        <f/>
        <v>0</v>
      </c>
      <c r="D36" s="3" t="s">
        <v>28</v>
      </c>
      <c r="E36" s="3" t="s">
        <v>30</v>
      </c>
      <c r="F36" s="3">
        <v>3</v>
      </c>
      <c r="G36" s="3">
        <v>2</v>
      </c>
      <c r="H36" s="3">
        <v>0</v>
      </c>
      <c r="I36" s="3">
        <v>1</v>
      </c>
      <c r="J36" s="4" t="str">
        <f>HYPERLINK("http://141.218.60.56/~jnz1568/getInfo.php?workbook=16_14.xlsx&amp;sheet=E0&amp;row=36&amp;col=10&amp;number=169771.43&amp;sourceID=2","169771.43")</f>
        <v>169771.43</v>
      </c>
      <c r="K36" s="4" t="str">
        <f>HYPERLINK("http://141.218.60.56/~jnz1568/getInfo.php?workbook=16_14.xlsx&amp;sheet=E0&amp;row=36&amp;col=11&amp;number=169629.5&amp;sourceID=48","169629.5")</f>
        <v>169629.5</v>
      </c>
    </row>
    <row r="37" spans="1:11">
      <c r="A37" s="3">
        <v>16</v>
      </c>
      <c r="B37" s="3">
        <v>14</v>
      </c>
      <c r="C37" s="3">
        <f/>
        <v>0</v>
      </c>
      <c r="D37" s="3" t="s">
        <v>28</v>
      </c>
      <c r="E37" s="3" t="s">
        <v>30</v>
      </c>
      <c r="F37" s="3">
        <v>3</v>
      </c>
      <c r="G37" s="3">
        <v>2</v>
      </c>
      <c r="H37" s="3">
        <v>0</v>
      </c>
      <c r="I37" s="3">
        <v>2</v>
      </c>
      <c r="J37" s="4" t="str">
        <f>HYPERLINK("http://141.218.60.56/~jnz1568/getInfo.php?workbook=16_14.xlsx&amp;sheet=E0&amp;row=37&amp;col=10&amp;number=170068.73&amp;sourceID=2","170068.73")</f>
        <v>170068.73</v>
      </c>
      <c r="K37" s="4" t="str">
        <f>HYPERLINK("http://141.218.60.56/~jnz1568/getInfo.php?workbook=16_14.xlsx&amp;sheet=E0&amp;row=37&amp;col=11&amp;number=169896.7&amp;sourceID=48","169896.7")</f>
        <v>169896.7</v>
      </c>
    </row>
    <row r="38" spans="1:11">
      <c r="A38" s="3">
        <v>16</v>
      </c>
      <c r="B38" s="3">
        <v>14</v>
      </c>
      <c r="C38" s="3">
        <f/>
        <v>0</v>
      </c>
      <c r="D38" s="3" t="s">
        <v>28</v>
      </c>
      <c r="E38" s="3" t="s">
        <v>30</v>
      </c>
      <c r="F38" s="3">
        <v>3</v>
      </c>
      <c r="G38" s="3">
        <v>2</v>
      </c>
      <c r="H38" s="3">
        <v>0</v>
      </c>
      <c r="I38" s="3">
        <v>3</v>
      </c>
      <c r="J38" s="4" t="str">
        <f>HYPERLINK("http://141.218.60.56/~jnz1568/getInfo.php?workbook=16_14.xlsx&amp;sheet=E0&amp;row=38&amp;col=10&amp;number=170650.55&amp;sourceID=2","170650.55")</f>
        <v>170650.55</v>
      </c>
      <c r="K38" s="4" t="str">
        <f>HYPERLINK("http://141.218.60.56/~jnz1568/getInfo.php?workbook=16_14.xlsx&amp;sheet=E0&amp;row=38&amp;col=11&amp;number=170405.8&amp;sourceID=48","170405.8")</f>
        <v>170405.8</v>
      </c>
    </row>
    <row r="39" spans="1:11">
      <c r="A39" s="3">
        <v>16</v>
      </c>
      <c r="B39" s="3">
        <v>14</v>
      </c>
      <c r="C39" s="3">
        <f/>
        <v>0</v>
      </c>
      <c r="D39" s="3" t="s">
        <v>28</v>
      </c>
      <c r="E39" s="3" t="s">
        <v>14</v>
      </c>
      <c r="F39" s="3">
        <v>3</v>
      </c>
      <c r="G39" s="3">
        <v>1</v>
      </c>
      <c r="H39" s="3">
        <v>0</v>
      </c>
      <c r="I39" s="3">
        <v>0</v>
      </c>
      <c r="J39" s="4" t="str">
        <f>HYPERLINK("http://141.218.60.56/~jnz1568/getInfo.php?workbook=16_14.xlsx&amp;sheet=E0&amp;row=39&amp;col=10&amp;number=172632.79&amp;sourceID=2","172632.79")</f>
        <v>172632.79</v>
      </c>
      <c r="K39" s="4" t="str">
        <f>HYPERLINK("http://141.218.60.56/~jnz1568/getInfo.php?workbook=16_14.xlsx&amp;sheet=E0&amp;row=39&amp;col=11&amp;number=172335.5&amp;sourceID=48","172335.5")</f>
        <v>172335.5</v>
      </c>
    </row>
    <row r="40" spans="1:11">
      <c r="A40" s="3">
        <v>16</v>
      </c>
      <c r="B40" s="3">
        <v>14</v>
      </c>
      <c r="C40" s="3">
        <f/>
        <v>0</v>
      </c>
      <c r="D40" s="3" t="s">
        <v>28</v>
      </c>
      <c r="E40" s="3" t="s">
        <v>14</v>
      </c>
      <c r="F40" s="3">
        <v>3</v>
      </c>
      <c r="G40" s="3">
        <v>1</v>
      </c>
      <c r="H40" s="3">
        <v>0</v>
      </c>
      <c r="I40" s="3">
        <v>1</v>
      </c>
      <c r="J40" s="4" t="str">
        <f>HYPERLINK("http://141.218.60.56/~jnz1568/getInfo.php?workbook=16_14.xlsx&amp;sheet=E0&amp;row=40&amp;col=10&amp;number=172787.26&amp;sourceID=2","172787.26")</f>
        <v>172787.26</v>
      </c>
      <c r="K40" s="4" t="str">
        <f>HYPERLINK("http://141.218.60.56/~jnz1568/getInfo.php?workbook=16_14.xlsx&amp;sheet=E0&amp;row=40&amp;col=11&amp;number=172472.4&amp;sourceID=48","172472.4")</f>
        <v>172472.4</v>
      </c>
    </row>
    <row r="41" spans="1:11">
      <c r="A41" s="3">
        <v>16</v>
      </c>
      <c r="B41" s="3">
        <v>14</v>
      </c>
      <c r="C41" s="3">
        <f/>
        <v>0</v>
      </c>
      <c r="D41" s="3" t="s">
        <v>28</v>
      </c>
      <c r="E41" s="3" t="s">
        <v>14</v>
      </c>
      <c r="F41" s="3">
        <v>3</v>
      </c>
      <c r="G41" s="3">
        <v>1</v>
      </c>
      <c r="H41" s="3">
        <v>0</v>
      </c>
      <c r="I41" s="3">
        <v>2</v>
      </c>
      <c r="J41" s="4" t="str">
        <f>HYPERLINK("http://141.218.60.56/~jnz1568/getInfo.php?workbook=16_14.xlsx&amp;sheet=E0&amp;row=41&amp;col=10&amp;number=173193.14&amp;sourceID=2","173193.14")</f>
        <v>173193.14</v>
      </c>
      <c r="K41" s="4" t="str">
        <f>HYPERLINK("http://141.218.60.56/~jnz1568/getInfo.php?workbook=16_14.xlsx&amp;sheet=E0&amp;row=41&amp;col=11&amp;number=172823.8&amp;sourceID=48","172823.8")</f>
        <v>172823.8</v>
      </c>
    </row>
    <row r="42" spans="1:11">
      <c r="A42" s="3">
        <v>16</v>
      </c>
      <c r="B42" s="3">
        <v>14</v>
      </c>
      <c r="C42" s="3">
        <f/>
        <v>0</v>
      </c>
      <c r="D42" s="3" t="s">
        <v>28</v>
      </c>
      <c r="E42" s="3" t="s">
        <v>31</v>
      </c>
      <c r="F42" s="3">
        <v>3</v>
      </c>
      <c r="G42" s="3">
        <v>0</v>
      </c>
      <c r="H42" s="3">
        <v>0</v>
      </c>
      <c r="I42" s="3">
        <v>1</v>
      </c>
      <c r="J42" s="4" t="str">
        <f>HYPERLINK("http://141.218.60.56/~jnz1568/getInfo.php?workbook=16_14.xlsx&amp;sheet=E0&amp;row=42&amp;col=10&amp;number=174037.69&amp;sourceID=2","174037.69")</f>
        <v>174037.69</v>
      </c>
      <c r="K42" s="4" t="str">
        <f>HYPERLINK("http://141.218.60.56/~jnz1568/getInfo.php?workbook=16_14.xlsx&amp;sheet=E0&amp;row=42&amp;col=11&amp;number=173735.6&amp;sourceID=48","173735.6")</f>
        <v>173735.6</v>
      </c>
    </row>
    <row r="43" spans="1:11">
      <c r="A43" s="3">
        <v>16</v>
      </c>
      <c r="B43" s="3">
        <v>14</v>
      </c>
      <c r="C43" s="3">
        <f/>
        <v>0</v>
      </c>
      <c r="D43" s="3" t="s">
        <v>28</v>
      </c>
      <c r="E43" s="3" t="s">
        <v>15</v>
      </c>
      <c r="F43" s="3">
        <v>1</v>
      </c>
      <c r="G43" s="3">
        <v>2</v>
      </c>
      <c r="H43" s="3">
        <v>0</v>
      </c>
      <c r="I43" s="3">
        <v>2</v>
      </c>
      <c r="J43" s="4" t="str">
        <f>HYPERLINK("http://141.218.60.56/~jnz1568/getInfo.php?workbook=16_14.xlsx&amp;sheet=E0&amp;row=43&amp;col=10&amp;number=176984.44&amp;sourceID=2","176984.44")</f>
        <v>176984.44</v>
      </c>
      <c r="K43" s="4" t="str">
        <f>HYPERLINK("http://141.218.60.56/~jnz1568/getInfo.php?workbook=16_14.xlsx&amp;sheet=E0&amp;row=43&amp;col=11&amp;number=176677.9&amp;sourceID=48","176677.9")</f>
        <v>176677.9</v>
      </c>
    </row>
    <row r="44" spans="1:11">
      <c r="A44" s="3">
        <v>16</v>
      </c>
      <c r="B44" s="3">
        <v>14</v>
      </c>
      <c r="C44" s="3">
        <f/>
        <v>0</v>
      </c>
      <c r="D44" s="3" t="s">
        <v>32</v>
      </c>
      <c r="E44" s="3" t="s">
        <v>14</v>
      </c>
      <c r="F44" s="3">
        <v>3</v>
      </c>
      <c r="G44" s="3">
        <v>1</v>
      </c>
      <c r="H44" s="3">
        <v>0</v>
      </c>
      <c r="I44" s="3">
        <v>2</v>
      </c>
      <c r="J44" s="4" t="str">
        <f>HYPERLINK("http://141.218.60.56/~jnz1568/getInfo.php?workbook=16_14.xlsx&amp;sheet=E0&amp;row=44&amp;col=10&amp;number=&amp;sourceID=2","")</f>
        <v/>
      </c>
      <c r="K44" s="4" t="str">
        <f>HYPERLINK("http://141.218.60.56/~jnz1568/getInfo.php?workbook=16_14.xlsx&amp;sheet=E0&amp;row=44&amp;col=11&amp;number=181982.3&amp;sourceID=48","181982.3")</f>
        <v>181982.3</v>
      </c>
    </row>
    <row r="45" spans="1:11">
      <c r="A45" s="3">
        <v>16</v>
      </c>
      <c r="B45" s="3">
        <v>14</v>
      </c>
      <c r="C45" s="3">
        <f/>
        <v>0</v>
      </c>
      <c r="D45" s="3" t="s">
        <v>32</v>
      </c>
      <c r="E45" s="3" t="s">
        <v>14</v>
      </c>
      <c r="F45" s="3">
        <v>3</v>
      </c>
      <c r="G45" s="3">
        <v>1</v>
      </c>
      <c r="H45" s="3">
        <v>0</v>
      </c>
      <c r="I45" s="3">
        <v>1</v>
      </c>
      <c r="J45" s="4" t="str">
        <f>HYPERLINK("http://141.218.60.56/~jnz1568/getInfo.php?workbook=16_14.xlsx&amp;sheet=E0&amp;row=45&amp;col=10&amp;number=&amp;sourceID=2","")</f>
        <v/>
      </c>
      <c r="K45" s="4" t="str">
        <f>HYPERLINK("http://141.218.60.56/~jnz1568/getInfo.php?workbook=16_14.xlsx&amp;sheet=E0&amp;row=45&amp;col=11&amp;number=182354.9&amp;sourceID=48","182354.9")</f>
        <v>182354.9</v>
      </c>
    </row>
    <row r="46" spans="1:11">
      <c r="A46" s="3">
        <v>16</v>
      </c>
      <c r="B46" s="3">
        <v>14</v>
      </c>
      <c r="C46" s="3">
        <f/>
        <v>0</v>
      </c>
      <c r="D46" s="3" t="s">
        <v>32</v>
      </c>
      <c r="E46" s="3" t="s">
        <v>14</v>
      </c>
      <c r="F46" s="3">
        <v>3</v>
      </c>
      <c r="G46" s="3">
        <v>1</v>
      </c>
      <c r="H46" s="3">
        <v>0</v>
      </c>
      <c r="I46" s="3">
        <f>#REF!</f>
        <v>0</v>
      </c>
      <c r="J46" s="4" t="str">
        <f>HYPERLINK("http://141.218.60.56/~jnz1568/getInfo.php?workbook=16_14.xlsx&amp;sheet=E0&amp;row=46&amp;col=10&amp;number=&amp;sourceID=2","")</f>
        <v/>
      </c>
      <c r="K46" s="4" t="str">
        <f>HYPERLINK("http://141.218.60.56/~jnz1568/getInfo.php?workbook=16_14.xlsx&amp;sheet=E0&amp;row=46&amp;col=11&amp;number=182525.7&amp;sourceID=48","182525.7")</f>
        <v>182525.7</v>
      </c>
    </row>
    <row r="47" spans="1:11">
      <c r="A47" s="3">
        <v>16</v>
      </c>
      <c r="B47" s="3">
        <v>14</v>
      </c>
      <c r="C47" s="3">
        <f/>
        <v>0</v>
      </c>
      <c r="D47" s="3" t="s">
        <v>28</v>
      </c>
      <c r="E47" s="3" t="s">
        <v>16</v>
      </c>
      <c r="F47" s="3">
        <v>1</v>
      </c>
      <c r="G47" s="3">
        <v>0</v>
      </c>
      <c r="H47" s="3">
        <v>0</v>
      </c>
      <c r="I47" s="3">
        <v>0</v>
      </c>
      <c r="J47" s="4" t="str">
        <f>HYPERLINK("http://141.218.60.56/~jnz1568/getInfo.php?workbook=16_14.xlsx&amp;sheet=E0&amp;row=47&amp;col=10&amp;number=182759.09&amp;sourceID=2","182759.09")</f>
        <v>182759.09</v>
      </c>
      <c r="K47" s="4" t="str">
        <f>HYPERLINK("http://141.218.60.56/~jnz1568/getInfo.php?workbook=16_14.xlsx&amp;sheet=E0&amp;row=47&amp;col=11&amp;number=182628.9&amp;sourceID=48","182628.9")</f>
        <v>182628.9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15.7109375" customWidth="1"/>
    <col min="6" max="6" width="12.7109375" customWidth="1"/>
    <col min="7" max="7" width="11.7109375" customWidth="1"/>
    <col min="8" max="8" width="11.7109375" customWidth="1"/>
    <col min="9" max="9" width="11.7109375" customWidth="1"/>
    <col min="10" max="10" width="10.7109375" customWidth="1"/>
    <col min="11" max="11" width="10.7109375" customWidth="1"/>
  </cols>
  <sheetData>
    <row r="1" spans="1:1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2"/>
      <c r="E2" s="2"/>
      <c r="F2" s="2" t="s">
        <v>2</v>
      </c>
      <c r="G2" s="2" t="s">
        <v>2</v>
      </c>
      <c r="H2" s="2" t="s">
        <v>2</v>
      </c>
      <c r="I2" s="2" t="s">
        <v>2</v>
      </c>
      <c r="J2" s="2" t="s">
        <v>34</v>
      </c>
      <c r="K2" s="2" t="s">
        <v>34</v>
      </c>
    </row>
    <row r="3" spans="1:11">
      <c r="A3" s="2" t="s">
        <v>3</v>
      </c>
      <c r="B3" s="2" t="s">
        <v>4</v>
      </c>
      <c r="C3" s="2" t="s">
        <v>35</v>
      </c>
      <c r="D3" s="2" t="s">
        <v>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38</v>
      </c>
      <c r="K3" s="2" t="s">
        <v>39</v>
      </c>
    </row>
    <row r="4" spans="1:11">
      <c r="A4" s="3">
        <v>16</v>
      </c>
      <c r="B4" s="3">
        <v>14</v>
      </c>
      <c r="C4" s="3">
        <v>2</v>
      </c>
      <c r="D4" s="3">
        <v>1</v>
      </c>
      <c r="E4" s="3">
        <f>((1/(INDEX(E0!J$4:J$47,C4,1)-INDEX(E0!J$4:J$47,D4,1))))*100000000</f>
        <v>0</v>
      </c>
      <c r="F4" s="4" t="str">
        <f>HYPERLINK("http://141.218.60.56/~jnz1568/getInfo.php?workbook=16_14.xlsx&amp;sheet=A0&amp;row=4&amp;col=6&amp;number=&amp;sourceID=48","")</f>
        <v/>
      </c>
      <c r="G4" s="4" t="str">
        <f>HYPERLINK("http://141.218.60.56/~jnz1568/getInfo.php?workbook=16_14.xlsx&amp;sheet=A0&amp;row=4&amp;col=7&amp;number=&amp;sourceID=48","")</f>
        <v/>
      </c>
      <c r="H4" s="4" t="str">
        <f>HYPERLINK("http://141.218.60.56/~jnz1568/getInfo.php?workbook=16_14.xlsx&amp;sheet=A0&amp;row=4&amp;col=8&amp;number=0.00034178&amp;sourceID=48","0.00034178")</f>
        <v>0.00034178</v>
      </c>
      <c r="I4" s="4" t="str">
        <f>HYPERLINK("http://141.218.60.56/~jnz1568/getInfo.php?workbook=16_14.xlsx&amp;sheet=A0&amp;row=4&amp;col=9&amp;number=&amp;sourceID=48","")</f>
        <v/>
      </c>
      <c r="J4" s="4" t="str">
        <f>HYPERLINK("http://141.218.60.56/~jnz1568/getInfo.php?workbook=16_14.xlsx&amp;sheet=A0&amp;row=4&amp;col=10&amp;number=&amp;sourceID=49","")</f>
        <v/>
      </c>
      <c r="K4" s="4" t="str">
        <f>HYPERLINK("http://141.218.60.56/~jnz1568/getInfo.php?workbook=16_14.xlsx&amp;sheet=A0&amp;row=4&amp;col=11&amp;number=0.000472&amp;sourceID=49","0.000472")</f>
        <v>0.000472</v>
      </c>
    </row>
    <row r="5" spans="1:11">
      <c r="A5" s="3">
        <v>16</v>
      </c>
      <c r="B5" s="3">
        <v>14</v>
      </c>
      <c r="C5" s="3">
        <v>3</v>
      </c>
      <c r="D5" s="3">
        <v>1</v>
      </c>
      <c r="E5" s="3">
        <f>((1/(INDEX(E0!J$4:J$47,C5,1)-INDEX(E0!J$4:J$47,D5,1))))*100000000</f>
        <v>0</v>
      </c>
      <c r="F5" s="4" t="str">
        <f>HYPERLINK("http://141.218.60.56/~jnz1568/getInfo.php?workbook=16_14.xlsx&amp;sheet=A0&amp;row=5&amp;col=6&amp;number=&amp;sourceID=48","")</f>
        <v/>
      </c>
      <c r="G5" s="4" t="str">
        <f>HYPERLINK("http://141.218.60.56/~jnz1568/getInfo.php?workbook=16_14.xlsx&amp;sheet=A0&amp;row=5&amp;col=7&amp;number=2.2766e-08&amp;sourceID=48","2.2766e-08")</f>
        <v>2.2766e-08</v>
      </c>
      <c r="H5" s="4" t="str">
        <f>HYPERLINK("http://141.218.60.56/~jnz1568/getInfo.php?workbook=16_14.xlsx&amp;sheet=A0&amp;row=5&amp;col=8&amp;number=&amp;sourceID=48","")</f>
        <v/>
      </c>
      <c r="I5" s="4" t="str">
        <f>HYPERLINK("http://141.218.60.56/~jnz1568/getInfo.php?workbook=16_14.xlsx&amp;sheet=A0&amp;row=5&amp;col=9&amp;number=&amp;sourceID=48","")</f>
        <v/>
      </c>
      <c r="J5" s="4" t="str">
        <f>HYPERLINK("http://141.218.60.56/~jnz1568/getInfo.php?workbook=16_14.xlsx&amp;sheet=A0&amp;row=5&amp;col=10&amp;number=4.611e-08&amp;sourceID=49","4.611e-08")</f>
        <v>4.611e-08</v>
      </c>
      <c r="K5" s="4" t="str">
        <f>HYPERLINK("http://141.218.60.56/~jnz1568/getInfo.php?workbook=16_14.xlsx&amp;sheet=A0&amp;row=5&amp;col=11&amp;number=&amp;sourceID=49","")</f>
        <v/>
      </c>
    </row>
    <row r="6" spans="1:11">
      <c r="A6" s="3">
        <v>16</v>
      </c>
      <c r="B6" s="3">
        <v>14</v>
      </c>
      <c r="C6" s="3">
        <v>3</v>
      </c>
      <c r="D6" s="3">
        <v>2</v>
      </c>
      <c r="E6" s="3">
        <f>((1/(INDEX(E0!J$4:J$47,C6,1)-INDEX(E0!J$4:J$47,D6,1))))*100000000</f>
        <v>0</v>
      </c>
      <c r="F6" s="4" t="str">
        <f>HYPERLINK("http://141.218.60.56/~jnz1568/getInfo.php?workbook=16_14.xlsx&amp;sheet=A0&amp;row=6&amp;col=6&amp;number=&amp;sourceID=48","")</f>
        <v/>
      </c>
      <c r="G6" s="4" t="str">
        <f>HYPERLINK("http://141.218.60.56/~jnz1568/getInfo.php?workbook=16_14.xlsx&amp;sheet=A0&amp;row=6&amp;col=7&amp;number=5.4675e-09&amp;sourceID=48","5.4675e-09")</f>
        <v>5.4675e-09</v>
      </c>
      <c r="H6" s="4" t="str">
        <f>HYPERLINK("http://141.218.60.56/~jnz1568/getInfo.php?workbook=16_14.xlsx&amp;sheet=A0&amp;row=6&amp;col=8&amp;number=0.0014298&amp;sourceID=48","0.0014298")</f>
        <v>0.0014298</v>
      </c>
      <c r="I6" s="4" t="str">
        <f>HYPERLINK("http://141.218.60.56/~jnz1568/getInfo.php?workbook=16_14.xlsx&amp;sheet=A0&amp;row=6&amp;col=9&amp;number=&amp;sourceID=48","")</f>
        <v/>
      </c>
      <c r="J6" s="4" t="str">
        <f>HYPERLINK("http://141.218.60.56/~jnz1568/getInfo.php?workbook=16_14.xlsx&amp;sheet=A0&amp;row=6&amp;col=10&amp;number=1.14e-08&amp;sourceID=49","1.14e-08")</f>
        <v>1.14e-08</v>
      </c>
      <c r="K6" s="4" t="str">
        <f>HYPERLINK("http://141.218.60.56/~jnz1568/getInfo.php?workbook=16_14.xlsx&amp;sheet=A0&amp;row=6&amp;col=11&amp;number=0.00207&amp;sourceID=49","0.00207")</f>
        <v>0.00207</v>
      </c>
    </row>
    <row r="7" spans="1:11">
      <c r="A7" s="3">
        <v>16</v>
      </c>
      <c r="B7" s="3">
        <v>14</v>
      </c>
      <c r="C7" s="3">
        <v>4</v>
      </c>
      <c r="D7" s="3">
        <v>1</v>
      </c>
      <c r="E7" s="3">
        <f>((1/(INDEX(E0!J$4:J$47,C7,1)-INDEX(E0!J$4:J$47,D7,1))))*100000000</f>
        <v>0</v>
      </c>
      <c r="F7" s="4" t="str">
        <f>HYPERLINK("http://141.218.60.56/~jnz1568/getInfo.php?workbook=16_14.xlsx&amp;sheet=A0&amp;row=7&amp;col=6&amp;number=&amp;sourceID=48","")</f>
        <v/>
      </c>
      <c r="G7" s="4" t="str">
        <f>HYPERLINK("http://141.218.60.56/~jnz1568/getInfo.php?workbook=16_14.xlsx&amp;sheet=A0&amp;row=7&amp;col=7&amp;number=5.6376e-06&amp;sourceID=48","5.6376e-06")</f>
        <v>5.6376e-06</v>
      </c>
      <c r="H7" s="4" t="str">
        <f>HYPERLINK("http://141.218.60.56/~jnz1568/getInfo.php?workbook=16_14.xlsx&amp;sheet=A0&amp;row=7&amp;col=8&amp;number=&amp;sourceID=48","")</f>
        <v/>
      </c>
      <c r="I7" s="4" t="str">
        <f>HYPERLINK("http://141.218.60.56/~jnz1568/getInfo.php?workbook=16_14.xlsx&amp;sheet=A0&amp;row=7&amp;col=9&amp;number=&amp;sourceID=48","")</f>
        <v/>
      </c>
      <c r="J7" s="4" t="str">
        <f>HYPERLINK("http://141.218.60.56/~jnz1568/getInfo.php?workbook=16_14.xlsx&amp;sheet=A0&amp;row=7&amp;col=10&amp;number=5.82e-06&amp;sourceID=49","5.82e-06")</f>
        <v>5.82e-06</v>
      </c>
      <c r="K7" s="4" t="str">
        <f>HYPERLINK("http://141.218.60.56/~jnz1568/getInfo.php?workbook=16_14.xlsx&amp;sheet=A0&amp;row=7&amp;col=11&amp;number=&amp;sourceID=49","")</f>
        <v/>
      </c>
    </row>
    <row r="8" spans="1:11">
      <c r="A8" s="3">
        <v>16</v>
      </c>
      <c r="B8" s="3">
        <v>14</v>
      </c>
      <c r="C8" s="3">
        <v>4</v>
      </c>
      <c r="D8" s="3">
        <v>2</v>
      </c>
      <c r="E8" s="3">
        <f>((1/(INDEX(E0!J$4:J$47,C8,1)-INDEX(E0!J$4:J$47,D8,1))))*100000000</f>
        <v>0</v>
      </c>
      <c r="F8" s="4" t="str">
        <f>HYPERLINK("http://141.218.60.56/~jnz1568/getInfo.php?workbook=16_14.xlsx&amp;sheet=A0&amp;row=8&amp;col=6&amp;number=&amp;sourceID=48","")</f>
        <v/>
      </c>
      <c r="G8" s="4" t="str">
        <f>HYPERLINK("http://141.218.60.56/~jnz1568/getInfo.php?workbook=16_14.xlsx&amp;sheet=A0&amp;row=8&amp;col=7&amp;number=4.2966e-05&amp;sourceID=48","4.2966e-05")</f>
        <v>4.2966e-05</v>
      </c>
      <c r="H8" s="4" t="str">
        <f>HYPERLINK("http://141.218.60.56/~jnz1568/getInfo.php?workbook=16_14.xlsx&amp;sheet=A0&amp;row=8&amp;col=8&amp;number=0.019491&amp;sourceID=48","0.019491")</f>
        <v>0.019491</v>
      </c>
      <c r="I8" s="4" t="str">
        <f>HYPERLINK("http://141.218.60.56/~jnz1568/getInfo.php?workbook=16_14.xlsx&amp;sheet=A0&amp;row=8&amp;col=9&amp;number=&amp;sourceID=48","")</f>
        <v/>
      </c>
      <c r="J8" s="4" t="str">
        <f>HYPERLINK("http://141.218.60.56/~jnz1568/getInfo.php?workbook=16_14.xlsx&amp;sheet=A0&amp;row=8&amp;col=10&amp;number=5.34e-05&amp;sourceID=49","5.34e-05")</f>
        <v>5.34e-05</v>
      </c>
      <c r="K8" s="4" t="str">
        <f>HYPERLINK("http://141.218.60.56/~jnz1568/getInfo.php?workbook=16_14.xlsx&amp;sheet=A0&amp;row=8&amp;col=11&amp;number=0.022&amp;sourceID=49","0.022")</f>
        <v>0.022</v>
      </c>
    </row>
    <row r="9" spans="1:11">
      <c r="A9" s="3">
        <v>16</v>
      </c>
      <c r="B9" s="3">
        <v>14</v>
      </c>
      <c r="C9" s="3">
        <v>4</v>
      </c>
      <c r="D9" s="3">
        <v>3</v>
      </c>
      <c r="E9" s="3">
        <f>((1/(INDEX(E0!J$4:J$47,C9,1)-INDEX(E0!J$4:J$47,D9,1))))*100000000</f>
        <v>0</v>
      </c>
      <c r="F9" s="4" t="str">
        <f>HYPERLINK("http://141.218.60.56/~jnz1568/getInfo.php?workbook=16_14.xlsx&amp;sheet=A0&amp;row=9&amp;col=6&amp;number=&amp;sourceID=48","")</f>
        <v/>
      </c>
      <c r="G9" s="4" t="str">
        <f>HYPERLINK("http://141.218.60.56/~jnz1568/getInfo.php?workbook=16_14.xlsx&amp;sheet=A0&amp;row=9&amp;col=7&amp;number=0.00023515&amp;sourceID=48","0.00023515")</f>
        <v>0.00023515</v>
      </c>
      <c r="H9" s="4" t="str">
        <f>HYPERLINK("http://141.218.60.56/~jnz1568/getInfo.php?workbook=16_14.xlsx&amp;sheet=A0&amp;row=9&amp;col=8&amp;number=0.051333&amp;sourceID=48","0.051333")</f>
        <v>0.051333</v>
      </c>
      <c r="I9" s="4" t="str">
        <f>HYPERLINK("http://141.218.60.56/~jnz1568/getInfo.php?workbook=16_14.xlsx&amp;sheet=A0&amp;row=9&amp;col=9&amp;number=&amp;sourceID=48","")</f>
        <v/>
      </c>
      <c r="J9" s="4" t="str">
        <f>HYPERLINK("http://141.218.60.56/~jnz1568/getInfo.php?workbook=16_14.xlsx&amp;sheet=A0&amp;row=9&amp;col=10&amp;number=0.000276&amp;sourceID=49","0.000276")</f>
        <v>0.000276</v>
      </c>
      <c r="K9" s="4" t="str">
        <f>HYPERLINK("http://141.218.60.56/~jnz1568/getInfo.php?workbook=16_14.xlsx&amp;sheet=A0&amp;row=9&amp;col=11&amp;number=0.0573&amp;sourceID=49","0.0573")</f>
        <v>0.0573</v>
      </c>
    </row>
    <row r="10" spans="1:11">
      <c r="A10" s="3">
        <v>16</v>
      </c>
      <c r="B10" s="3">
        <v>14</v>
      </c>
      <c r="C10" s="3">
        <v>5</v>
      </c>
      <c r="D10" s="3">
        <v>2</v>
      </c>
      <c r="E10" s="3">
        <f>((1/(INDEX(E0!J$4:J$47,C10,1)-INDEX(E0!J$4:J$47,D10,1))))*100000000</f>
        <v>0</v>
      </c>
      <c r="F10" s="4" t="str">
        <f>HYPERLINK("http://141.218.60.56/~jnz1568/getInfo.php?workbook=16_14.xlsx&amp;sheet=A0&amp;row=10&amp;col=6&amp;number=&amp;sourceID=48","")</f>
        <v/>
      </c>
      <c r="G10" s="4" t="str">
        <f>HYPERLINK("http://141.218.60.56/~jnz1568/getInfo.php?workbook=16_14.xlsx&amp;sheet=A0&amp;row=10&amp;col=7&amp;number=&amp;sourceID=48","")</f>
        <v/>
      </c>
      <c r="H10" s="4" t="str">
        <f>HYPERLINK("http://141.218.60.56/~jnz1568/getInfo.php?workbook=16_14.xlsx&amp;sheet=A0&amp;row=10&amp;col=8&amp;number=0.68755&amp;sourceID=48","0.68755")</f>
        <v>0.68755</v>
      </c>
      <c r="I10" s="4" t="str">
        <f>HYPERLINK("http://141.218.60.56/~jnz1568/getInfo.php?workbook=16_14.xlsx&amp;sheet=A0&amp;row=10&amp;col=9&amp;number=&amp;sourceID=48","")</f>
        <v/>
      </c>
      <c r="J10" s="4" t="str">
        <f>HYPERLINK("http://141.218.60.56/~jnz1568/getInfo.php?workbook=16_14.xlsx&amp;sheet=A0&amp;row=10&amp;col=10&amp;number=&amp;sourceID=49","")</f>
        <v/>
      </c>
      <c r="K10" s="4" t="str">
        <f>HYPERLINK("http://141.218.60.56/~jnz1568/getInfo.php?workbook=16_14.xlsx&amp;sheet=A0&amp;row=10&amp;col=11&amp;number=0.796&amp;sourceID=49","0.796")</f>
        <v>0.796</v>
      </c>
    </row>
    <row r="11" spans="1:11">
      <c r="A11" s="3">
        <v>16</v>
      </c>
      <c r="B11" s="3">
        <v>14</v>
      </c>
      <c r="C11" s="3">
        <v>5</v>
      </c>
      <c r="D11" s="3">
        <v>3</v>
      </c>
      <c r="E11" s="3">
        <f>((1/(INDEX(E0!J$4:J$47,C11,1)-INDEX(E0!J$4:J$47,D11,1))))*100000000</f>
        <v>0</v>
      </c>
      <c r="F11" s="4" t="str">
        <f>HYPERLINK("http://141.218.60.56/~jnz1568/getInfo.php?workbook=16_14.xlsx&amp;sheet=A0&amp;row=11&amp;col=6&amp;number=&amp;sourceID=48","")</f>
        <v/>
      </c>
      <c r="G11" s="4" t="str">
        <f>HYPERLINK("http://141.218.60.56/~jnz1568/getInfo.php?workbook=16_14.xlsx&amp;sheet=A0&amp;row=11&amp;col=7&amp;number=0.0095322&amp;sourceID=48","0.0095322")</f>
        <v>0.0095322</v>
      </c>
      <c r="H11" s="4" t="str">
        <f>HYPERLINK("http://141.218.60.56/~jnz1568/getInfo.php?workbook=16_14.xlsx&amp;sheet=A0&amp;row=11&amp;col=8&amp;number=&amp;sourceID=48","")</f>
        <v/>
      </c>
      <c r="I11" s="4" t="str">
        <f>HYPERLINK("http://141.218.60.56/~jnz1568/getInfo.php?workbook=16_14.xlsx&amp;sheet=A0&amp;row=11&amp;col=9&amp;number=&amp;sourceID=48","")</f>
        <v/>
      </c>
      <c r="J11" s="4" t="str">
        <f>HYPERLINK("http://141.218.60.56/~jnz1568/getInfo.php?workbook=16_14.xlsx&amp;sheet=A0&amp;row=11&amp;col=10&amp;number=0.0105&amp;sourceID=49","0.0105")</f>
        <v>0.0105</v>
      </c>
      <c r="K11" s="4" t="str">
        <f>HYPERLINK("http://141.218.60.56/~jnz1568/getInfo.php?workbook=16_14.xlsx&amp;sheet=A0&amp;row=11&amp;col=11&amp;number=&amp;sourceID=49","")</f>
        <v/>
      </c>
    </row>
    <row r="12" spans="1:11">
      <c r="A12" s="3">
        <v>16</v>
      </c>
      <c r="B12" s="3">
        <v>14</v>
      </c>
      <c r="C12" s="3">
        <v>5</v>
      </c>
      <c r="D12" s="3">
        <v>4</v>
      </c>
      <c r="E12" s="3">
        <f>((1/(INDEX(E0!J$4:J$47,C12,1)-INDEX(E0!J$4:J$47,D12,1))))*100000000</f>
        <v>0</v>
      </c>
      <c r="F12" s="4" t="str">
        <f>HYPERLINK("http://141.218.60.56/~jnz1568/getInfo.php?workbook=16_14.xlsx&amp;sheet=A0&amp;row=12&amp;col=6&amp;number=&amp;sourceID=48","")</f>
        <v/>
      </c>
      <c r="G12" s="4" t="str">
        <f>HYPERLINK("http://141.218.60.56/~jnz1568/getInfo.php?workbook=16_14.xlsx&amp;sheet=A0&amp;row=12&amp;col=7&amp;number=2.1885&amp;sourceID=48","2.1885")</f>
        <v>2.1885</v>
      </c>
      <c r="H12" s="4" t="str">
        <f>HYPERLINK("http://141.218.60.56/~jnz1568/getInfo.php?workbook=16_14.xlsx&amp;sheet=A0&amp;row=12&amp;col=8&amp;number=&amp;sourceID=48","")</f>
        <v/>
      </c>
      <c r="I12" s="4" t="str">
        <f>HYPERLINK("http://141.218.60.56/~jnz1568/getInfo.php?workbook=16_14.xlsx&amp;sheet=A0&amp;row=12&amp;col=9&amp;number=&amp;sourceID=48","")</f>
        <v/>
      </c>
      <c r="J12" s="4" t="str">
        <f>HYPERLINK("http://141.218.60.56/~jnz1568/getInfo.php?workbook=16_14.xlsx&amp;sheet=A0&amp;row=12&amp;col=10&amp;number=2.22&amp;sourceID=49","2.22")</f>
        <v>2.22</v>
      </c>
      <c r="K12" s="4" t="str">
        <f>HYPERLINK("http://141.218.60.56/~jnz1568/getInfo.php?workbook=16_14.xlsx&amp;sheet=A0&amp;row=12&amp;col=11&amp;number=&amp;sourceID=49","")</f>
        <v/>
      </c>
    </row>
    <row r="13" spans="1:11">
      <c r="A13" s="3">
        <v>16</v>
      </c>
      <c r="B13" s="3">
        <v>14</v>
      </c>
      <c r="C13" s="3">
        <v>6</v>
      </c>
      <c r="D13" s="3">
        <v>1</v>
      </c>
      <c r="E13" s="3">
        <f>((1/(INDEX(E0!J$4:J$47,C13,1)-INDEX(E0!J$4:J$47,D13,1))))*100000000</f>
        <v>0</v>
      </c>
      <c r="F13" s="4" t="str">
        <f>HYPERLINK("http://141.218.60.56/~jnz1568/getInfo.php?workbook=16_14.xlsx&amp;sheet=A0&amp;row=13&amp;col=6&amp;number=&amp;sourceID=48","")</f>
        <v/>
      </c>
      <c r="G13" s="4" t="str">
        <f>HYPERLINK("http://141.218.60.56/~jnz1568/getInfo.php?workbook=16_14.xlsx&amp;sheet=A0&amp;row=13&amp;col=7&amp;number=&amp;sourceID=48","")</f>
        <v/>
      </c>
      <c r="H13" s="4" t="str">
        <f>HYPERLINK("http://141.218.60.56/~jnz1568/getInfo.php?workbook=16_14.xlsx&amp;sheet=A0&amp;row=13&amp;col=8&amp;number=&amp;sourceID=48","")</f>
        <v/>
      </c>
      <c r="I13" s="4" t="str">
        <f>HYPERLINK("http://141.218.60.56/~jnz1568/getInfo.php?workbook=16_14.xlsx&amp;sheet=A0&amp;row=13&amp;col=9&amp;number=0.0048634&amp;sourceID=48","0.0048634")</f>
        <v>0.0048634</v>
      </c>
      <c r="J13" s="4" t="str">
        <f>HYPERLINK("http://141.218.60.56/~jnz1568/getInfo.php?workbook=16_14.xlsx&amp;sheet=A0&amp;row=13&amp;col=10&amp;number=&amp;sourceID=49","")</f>
        <v/>
      </c>
      <c r="K13" s="4" t="str">
        <f>HYPERLINK("http://141.218.60.56/~jnz1568/getInfo.php?workbook=16_14.xlsx&amp;sheet=A0&amp;row=13&amp;col=11&amp;number=&amp;sourceID=49","")</f>
        <v/>
      </c>
    </row>
    <row r="14" spans="1:11">
      <c r="A14" s="3">
        <v>16</v>
      </c>
      <c r="B14" s="3">
        <v>14</v>
      </c>
      <c r="C14" s="3">
        <v>6</v>
      </c>
      <c r="D14" s="3">
        <v>2</v>
      </c>
      <c r="E14" s="3">
        <f>((1/(INDEX(E0!J$4:J$47,C14,1)-INDEX(E0!J$4:J$47,D14,1))))*100000000</f>
        <v>0</v>
      </c>
      <c r="F14" s="4" t="str">
        <f>HYPERLINK("http://141.218.60.56/~jnz1568/getInfo.php?workbook=16_14.xlsx&amp;sheet=A0&amp;row=14&amp;col=6&amp;number=4449.3&amp;sourceID=48","4449.3")</f>
        <v>4449.3</v>
      </c>
      <c r="G14" s="4" t="str">
        <f>HYPERLINK("http://141.218.60.56/~jnz1568/getInfo.php?workbook=16_14.xlsx&amp;sheet=A0&amp;row=14&amp;col=7&amp;number=&amp;sourceID=48","")</f>
        <v/>
      </c>
      <c r="H14" s="4" t="str">
        <f>HYPERLINK("http://141.218.60.56/~jnz1568/getInfo.php?workbook=16_14.xlsx&amp;sheet=A0&amp;row=14&amp;col=8&amp;number=&amp;sourceID=48","")</f>
        <v/>
      </c>
      <c r="I14" s="4" t="str">
        <f>HYPERLINK("http://141.218.60.56/~jnz1568/getInfo.php?workbook=16_14.xlsx&amp;sheet=A0&amp;row=14&amp;col=9&amp;number=0.010562&amp;sourceID=48","0.010562")</f>
        <v>0.010562</v>
      </c>
      <c r="J14" s="4" t="str">
        <f>HYPERLINK("http://141.218.60.56/~jnz1568/getInfo.php?workbook=16_14.xlsx&amp;sheet=A0&amp;row=14&amp;col=10&amp;number=&amp;sourceID=49","")</f>
        <v/>
      </c>
      <c r="K14" s="4" t="str">
        <f>HYPERLINK("http://141.218.60.56/~jnz1568/getInfo.php?workbook=16_14.xlsx&amp;sheet=A0&amp;row=14&amp;col=11&amp;number=&amp;sourceID=49","")</f>
        <v/>
      </c>
    </row>
    <row r="15" spans="1:11">
      <c r="A15" s="3">
        <v>16</v>
      </c>
      <c r="B15" s="3">
        <v>14</v>
      </c>
      <c r="C15" s="3">
        <v>6</v>
      </c>
      <c r="D15" s="3">
        <v>3</v>
      </c>
      <c r="E15" s="3">
        <f>((1/(INDEX(E0!J$4:J$47,C15,1)-INDEX(E0!J$4:J$47,D15,1))))*100000000</f>
        <v>0</v>
      </c>
      <c r="F15" s="4" t="str">
        <f>HYPERLINK("http://141.218.60.56/~jnz1568/getInfo.php?workbook=16_14.xlsx&amp;sheet=A0&amp;row=15&amp;col=6&amp;number=12315&amp;sourceID=48","12315")</f>
        <v>12315</v>
      </c>
      <c r="G15" s="4" t="str">
        <f>HYPERLINK("http://141.218.60.56/~jnz1568/getInfo.php?workbook=16_14.xlsx&amp;sheet=A0&amp;row=15&amp;col=7&amp;number=&amp;sourceID=48","")</f>
        <v/>
      </c>
      <c r="H15" s="4" t="str">
        <f>HYPERLINK("http://141.218.60.56/~jnz1568/getInfo.php?workbook=16_14.xlsx&amp;sheet=A0&amp;row=15&amp;col=8&amp;number=&amp;sourceID=48","")</f>
        <v/>
      </c>
      <c r="I15" s="4" t="str">
        <f>HYPERLINK("http://141.218.60.56/~jnz1568/getInfo.php?workbook=16_14.xlsx&amp;sheet=A0&amp;row=15&amp;col=9&amp;number=0.0077149&amp;sourceID=48","0.0077149")</f>
        <v>0.0077149</v>
      </c>
      <c r="J15" s="4" t="str">
        <f>HYPERLINK("http://141.218.60.56/~jnz1568/getInfo.php?workbook=16_14.xlsx&amp;sheet=A0&amp;row=15&amp;col=10&amp;number=&amp;sourceID=49","")</f>
        <v/>
      </c>
      <c r="K15" s="4" t="str">
        <f>HYPERLINK("http://141.218.60.56/~jnz1568/getInfo.php?workbook=16_14.xlsx&amp;sheet=A0&amp;row=15&amp;col=11&amp;number=&amp;sourceID=49","")</f>
        <v/>
      </c>
    </row>
    <row r="16" spans="1:11">
      <c r="A16" s="3">
        <v>16</v>
      </c>
      <c r="B16" s="3">
        <v>14</v>
      </c>
      <c r="C16" s="3">
        <v>6</v>
      </c>
      <c r="D16" s="3">
        <v>4</v>
      </c>
      <c r="E16" s="3">
        <f>((1/(INDEX(E0!J$4:J$47,C16,1)-INDEX(E0!J$4:J$47,D16,1))))*100000000</f>
        <v>0</v>
      </c>
      <c r="F16" s="4" t="str">
        <f>HYPERLINK("http://141.218.60.56/~jnz1568/getInfo.php?workbook=16_14.xlsx&amp;sheet=A0&amp;row=16&amp;col=6&amp;number=3.4499&amp;sourceID=48","3.4499")</f>
        <v>3.4499</v>
      </c>
      <c r="G16" s="4" t="str">
        <f>HYPERLINK("http://141.218.60.56/~jnz1568/getInfo.php?workbook=16_14.xlsx&amp;sheet=A0&amp;row=16&amp;col=7&amp;number=&amp;sourceID=48","")</f>
        <v/>
      </c>
      <c r="H16" s="4" t="str">
        <f>HYPERLINK("http://141.218.60.56/~jnz1568/getInfo.php?workbook=16_14.xlsx&amp;sheet=A0&amp;row=16&amp;col=8&amp;number=&amp;sourceID=48","")</f>
        <v/>
      </c>
      <c r="I16" s="4" t="str">
        <f>HYPERLINK("http://141.218.60.56/~jnz1568/getInfo.php?workbook=16_14.xlsx&amp;sheet=A0&amp;row=16&amp;col=9&amp;number=1.9742e-06&amp;sourceID=48","1.9742e-06")</f>
        <v>1.9742e-06</v>
      </c>
      <c r="J16" s="4" t="str">
        <f>HYPERLINK("http://141.218.60.56/~jnz1568/getInfo.php?workbook=16_14.xlsx&amp;sheet=A0&amp;row=16&amp;col=10&amp;number=&amp;sourceID=49","")</f>
        <v/>
      </c>
      <c r="K16" s="4" t="str">
        <f>HYPERLINK("http://141.218.60.56/~jnz1568/getInfo.php?workbook=16_14.xlsx&amp;sheet=A0&amp;row=16&amp;col=11&amp;number=&amp;sourceID=49","")</f>
        <v/>
      </c>
    </row>
    <row r="17" spans="1:11">
      <c r="A17" s="3">
        <v>16</v>
      </c>
      <c r="B17" s="3">
        <v>14</v>
      </c>
      <c r="C17" s="3">
        <v>6</v>
      </c>
      <c r="D17" s="3">
        <v>5</v>
      </c>
      <c r="E17" s="3">
        <f>((1/(INDEX(E0!J$4:J$47,C17,1)-INDEX(E0!J$4:J$47,D17,1))))*100000000</f>
        <v>0</v>
      </c>
      <c r="F17" s="4" t="str">
        <f>HYPERLINK("http://141.218.60.56/~jnz1568/getInfo.php?workbook=16_14.xlsx&amp;sheet=A0&amp;row=17&amp;col=6&amp;number=&amp;sourceID=48","")</f>
        <v/>
      </c>
      <c r="G17" s="4" t="str">
        <f>HYPERLINK("http://141.218.60.56/~jnz1568/getInfo.php?workbook=16_14.xlsx&amp;sheet=A0&amp;row=17&amp;col=7&amp;number=&amp;sourceID=48","")</f>
        <v/>
      </c>
      <c r="H17" s="4" t="str">
        <f>HYPERLINK("http://141.218.60.56/~jnz1568/getInfo.php?workbook=16_14.xlsx&amp;sheet=A0&amp;row=17&amp;col=8&amp;number=&amp;sourceID=48","")</f>
        <v/>
      </c>
      <c r="I17" s="4" t="str">
        <f>HYPERLINK("http://141.218.60.56/~jnz1568/getInfo.php?workbook=16_14.xlsx&amp;sheet=A0&amp;row=17&amp;col=9&amp;number=5.2712e-09&amp;sourceID=48","5.2712e-09")</f>
        <v>5.2712e-09</v>
      </c>
      <c r="J17" s="4" t="str">
        <f>HYPERLINK("http://141.218.60.56/~jnz1568/getInfo.php?workbook=16_14.xlsx&amp;sheet=A0&amp;row=17&amp;col=10&amp;number=&amp;sourceID=49","")</f>
        <v/>
      </c>
      <c r="K17" s="4" t="str">
        <f>HYPERLINK("http://141.218.60.56/~jnz1568/getInfo.php?workbook=16_14.xlsx&amp;sheet=A0&amp;row=17&amp;col=11&amp;number=&amp;sourceID=49","")</f>
        <v/>
      </c>
    </row>
    <row r="18" spans="1:11">
      <c r="A18" s="3">
        <v>16</v>
      </c>
      <c r="B18" s="3">
        <v>14</v>
      </c>
      <c r="C18" s="3">
        <v>7</v>
      </c>
      <c r="D18" s="3">
        <v>1</v>
      </c>
      <c r="E18" s="3">
        <f>((1/(INDEX(E0!J$4:J$47,C18,1)-INDEX(E0!J$4:J$47,D18,1))))*100000000</f>
        <v>0</v>
      </c>
      <c r="F18" s="4" t="str">
        <f>HYPERLINK("http://141.218.60.56/~jnz1568/getInfo.php?workbook=16_14.xlsx&amp;sheet=A0&amp;row=18&amp;col=6&amp;number=40237000&amp;sourceID=48","40237000")</f>
        <v>40237000</v>
      </c>
      <c r="G18" s="4" t="str">
        <f>HYPERLINK("http://141.218.60.56/~jnz1568/getInfo.php?workbook=16_14.xlsx&amp;sheet=A0&amp;row=18&amp;col=7&amp;number=&amp;sourceID=48","")</f>
        <v/>
      </c>
      <c r="H18" s="4" t="str">
        <f>HYPERLINK("http://141.218.60.56/~jnz1568/getInfo.php?workbook=16_14.xlsx&amp;sheet=A0&amp;row=18&amp;col=8&amp;number=&amp;sourceID=48","")</f>
        <v/>
      </c>
      <c r="I18" s="4" t="str">
        <f>HYPERLINK("http://141.218.60.56/~jnz1568/getInfo.php?workbook=16_14.xlsx&amp;sheet=A0&amp;row=18&amp;col=9&amp;number=&amp;sourceID=48","")</f>
        <v/>
      </c>
      <c r="J18" s="4" t="str">
        <f>HYPERLINK("http://141.218.60.56/~jnz1568/getInfo.php?workbook=16_14.xlsx&amp;sheet=A0&amp;row=18&amp;col=10&amp;number=&amp;sourceID=49","")</f>
        <v/>
      </c>
      <c r="K18" s="4" t="str">
        <f>HYPERLINK("http://141.218.60.56/~jnz1568/getInfo.php?workbook=16_14.xlsx&amp;sheet=A0&amp;row=18&amp;col=11&amp;number=&amp;sourceID=49","")</f>
        <v/>
      </c>
    </row>
    <row r="19" spans="1:11">
      <c r="A19" s="3">
        <v>16</v>
      </c>
      <c r="B19" s="3">
        <v>14</v>
      </c>
      <c r="C19" s="3">
        <v>7</v>
      </c>
      <c r="D19" s="3">
        <v>2</v>
      </c>
      <c r="E19" s="3">
        <f>((1/(INDEX(E0!J$4:J$47,C19,1)-INDEX(E0!J$4:J$47,D19,1))))*100000000</f>
        <v>0</v>
      </c>
      <c r="F19" s="4" t="str">
        <f>HYPERLINK("http://141.218.60.56/~jnz1568/getInfo.php?workbook=16_14.xlsx&amp;sheet=A0&amp;row=19&amp;col=6&amp;number=26619000&amp;sourceID=48","26619000")</f>
        <v>26619000</v>
      </c>
      <c r="G19" s="4" t="str">
        <f>HYPERLINK("http://141.218.60.56/~jnz1568/getInfo.php?workbook=16_14.xlsx&amp;sheet=A0&amp;row=19&amp;col=7&amp;number=&amp;sourceID=48","")</f>
        <v/>
      </c>
      <c r="H19" s="4" t="str">
        <f>HYPERLINK("http://141.218.60.56/~jnz1568/getInfo.php?workbook=16_14.xlsx&amp;sheet=A0&amp;row=19&amp;col=8&amp;number=&amp;sourceID=48","")</f>
        <v/>
      </c>
      <c r="I19" s="4" t="str">
        <f>HYPERLINK("http://141.218.60.56/~jnz1568/getInfo.php?workbook=16_14.xlsx&amp;sheet=A0&amp;row=19&amp;col=9&amp;number=&amp;sourceID=48","")</f>
        <v/>
      </c>
      <c r="J19" s="4" t="str">
        <f>HYPERLINK("http://141.218.60.56/~jnz1568/getInfo.php?workbook=16_14.xlsx&amp;sheet=A0&amp;row=19&amp;col=10&amp;number=&amp;sourceID=49","")</f>
        <v/>
      </c>
      <c r="K19" s="4" t="str">
        <f>HYPERLINK("http://141.218.60.56/~jnz1568/getInfo.php?workbook=16_14.xlsx&amp;sheet=A0&amp;row=19&amp;col=11&amp;number=&amp;sourceID=49","")</f>
        <v/>
      </c>
    </row>
    <row r="20" spans="1:11">
      <c r="A20" s="3">
        <v>16</v>
      </c>
      <c r="B20" s="3">
        <v>14</v>
      </c>
      <c r="C20" s="3">
        <v>7</v>
      </c>
      <c r="D20" s="3">
        <v>3</v>
      </c>
      <c r="E20" s="3">
        <f>((1/(INDEX(E0!J$4:J$47,C20,1)-INDEX(E0!J$4:J$47,D20,1))))*100000000</f>
        <v>0</v>
      </c>
      <c r="F20" s="4" t="str">
        <f>HYPERLINK("http://141.218.60.56/~jnz1568/getInfo.php?workbook=16_14.xlsx&amp;sheet=A0&amp;row=20&amp;col=6&amp;number=1375100&amp;sourceID=48","1375100")</f>
        <v>1375100</v>
      </c>
      <c r="G20" s="4" t="str">
        <f>HYPERLINK("http://141.218.60.56/~jnz1568/getInfo.php?workbook=16_14.xlsx&amp;sheet=A0&amp;row=20&amp;col=7&amp;number=&amp;sourceID=48","")</f>
        <v/>
      </c>
      <c r="H20" s="4" t="str">
        <f>HYPERLINK("http://141.218.60.56/~jnz1568/getInfo.php?workbook=16_14.xlsx&amp;sheet=A0&amp;row=20&amp;col=8&amp;number=&amp;sourceID=48","")</f>
        <v/>
      </c>
      <c r="I20" s="4" t="str">
        <f>HYPERLINK("http://141.218.60.56/~jnz1568/getInfo.php?workbook=16_14.xlsx&amp;sheet=A0&amp;row=20&amp;col=9&amp;number=&amp;sourceID=48","")</f>
        <v/>
      </c>
      <c r="J20" s="4" t="str">
        <f>HYPERLINK("http://141.218.60.56/~jnz1568/getInfo.php?workbook=16_14.xlsx&amp;sheet=A0&amp;row=20&amp;col=10&amp;number=&amp;sourceID=49","")</f>
        <v/>
      </c>
      <c r="K20" s="4" t="str">
        <f>HYPERLINK("http://141.218.60.56/~jnz1568/getInfo.php?workbook=16_14.xlsx&amp;sheet=A0&amp;row=20&amp;col=11&amp;number=&amp;sourceID=49","")</f>
        <v/>
      </c>
    </row>
    <row r="21" spans="1:11">
      <c r="A21" s="3">
        <v>16</v>
      </c>
      <c r="B21" s="3">
        <v>14</v>
      </c>
      <c r="C21" s="3">
        <v>7</v>
      </c>
      <c r="D21" s="3">
        <v>4</v>
      </c>
      <c r="E21" s="3">
        <f>((1/(INDEX(E0!J$4:J$47,C21,1)-INDEX(E0!J$4:J$47,D21,1))))*100000000</f>
        <v>0</v>
      </c>
      <c r="F21" s="4" t="str">
        <f>HYPERLINK("http://141.218.60.56/~jnz1568/getInfo.php?workbook=16_14.xlsx&amp;sheet=A0&amp;row=21&amp;col=6&amp;number=45668&amp;sourceID=48","45668")</f>
        <v>45668</v>
      </c>
      <c r="G21" s="4" t="str">
        <f>HYPERLINK("http://141.218.60.56/~jnz1568/getInfo.php?workbook=16_14.xlsx&amp;sheet=A0&amp;row=21&amp;col=7&amp;number=&amp;sourceID=48","")</f>
        <v/>
      </c>
      <c r="H21" s="4" t="str">
        <f>HYPERLINK("http://141.218.60.56/~jnz1568/getInfo.php?workbook=16_14.xlsx&amp;sheet=A0&amp;row=21&amp;col=8&amp;number=&amp;sourceID=48","")</f>
        <v/>
      </c>
      <c r="I21" s="4" t="str">
        <f>HYPERLINK("http://141.218.60.56/~jnz1568/getInfo.php?workbook=16_14.xlsx&amp;sheet=A0&amp;row=21&amp;col=9&amp;number=&amp;sourceID=48","")</f>
        <v/>
      </c>
      <c r="J21" s="4" t="str">
        <f>HYPERLINK("http://141.218.60.56/~jnz1568/getInfo.php?workbook=16_14.xlsx&amp;sheet=A0&amp;row=21&amp;col=10&amp;number=&amp;sourceID=49","")</f>
        <v/>
      </c>
      <c r="K21" s="4" t="str">
        <f>HYPERLINK("http://141.218.60.56/~jnz1568/getInfo.php?workbook=16_14.xlsx&amp;sheet=A0&amp;row=21&amp;col=11&amp;number=&amp;sourceID=49","")</f>
        <v/>
      </c>
    </row>
    <row r="22" spans="1:11">
      <c r="A22" s="3">
        <v>16</v>
      </c>
      <c r="B22" s="3">
        <v>14</v>
      </c>
      <c r="C22" s="3">
        <v>7</v>
      </c>
      <c r="D22" s="3">
        <v>5</v>
      </c>
      <c r="E22" s="3">
        <f>((1/(INDEX(E0!J$4:J$47,C22,1)-INDEX(E0!J$4:J$47,D22,1))))*100000000</f>
        <v>0</v>
      </c>
      <c r="F22" s="4" t="str">
        <f>HYPERLINK("http://141.218.60.56/~jnz1568/getInfo.php?workbook=16_14.xlsx&amp;sheet=A0&amp;row=22&amp;col=6&amp;number=919.51&amp;sourceID=48","919.51")</f>
        <v>919.51</v>
      </c>
      <c r="G22" s="4" t="str">
        <f>HYPERLINK("http://141.218.60.56/~jnz1568/getInfo.php?workbook=16_14.xlsx&amp;sheet=A0&amp;row=22&amp;col=7&amp;number=&amp;sourceID=48","")</f>
        <v/>
      </c>
      <c r="H22" s="4" t="str">
        <f>HYPERLINK("http://141.218.60.56/~jnz1568/getInfo.php?workbook=16_14.xlsx&amp;sheet=A0&amp;row=22&amp;col=8&amp;number=&amp;sourceID=48","")</f>
        <v/>
      </c>
      <c r="I22" s="4" t="str">
        <f>HYPERLINK("http://141.218.60.56/~jnz1568/getInfo.php?workbook=16_14.xlsx&amp;sheet=A0&amp;row=22&amp;col=9&amp;number=&amp;sourceID=48","")</f>
        <v/>
      </c>
      <c r="J22" s="4" t="str">
        <f>HYPERLINK("http://141.218.60.56/~jnz1568/getInfo.php?workbook=16_14.xlsx&amp;sheet=A0&amp;row=22&amp;col=10&amp;number=&amp;sourceID=49","")</f>
        <v/>
      </c>
      <c r="K22" s="4" t="str">
        <f>HYPERLINK("http://141.218.60.56/~jnz1568/getInfo.php?workbook=16_14.xlsx&amp;sheet=A0&amp;row=22&amp;col=11&amp;number=&amp;sourceID=49","")</f>
        <v/>
      </c>
    </row>
    <row r="23" spans="1:11">
      <c r="A23" s="3">
        <v>16</v>
      </c>
      <c r="B23" s="3">
        <v>14</v>
      </c>
      <c r="C23" s="3">
        <v>8</v>
      </c>
      <c r="D23" s="3">
        <v>2</v>
      </c>
      <c r="E23" s="3">
        <f>((1/(INDEX(E0!J$4:J$47,C23,1)-INDEX(E0!J$4:J$47,D23,1))))*100000000</f>
        <v>0</v>
      </c>
      <c r="F23" s="4" t="str">
        <f>HYPERLINK("http://141.218.60.56/~jnz1568/getInfo.php?workbook=16_14.xlsx&amp;sheet=A0&amp;row=23&amp;col=6&amp;number=53797000&amp;sourceID=48","53797000")</f>
        <v>53797000</v>
      </c>
      <c r="G23" s="4" t="str">
        <f>HYPERLINK("http://141.218.60.56/~jnz1568/getInfo.php?workbook=16_14.xlsx&amp;sheet=A0&amp;row=23&amp;col=7&amp;number=&amp;sourceID=48","")</f>
        <v/>
      </c>
      <c r="H23" s="4" t="str">
        <f>HYPERLINK("http://141.218.60.56/~jnz1568/getInfo.php?workbook=16_14.xlsx&amp;sheet=A0&amp;row=23&amp;col=8&amp;number=&amp;sourceID=48","")</f>
        <v/>
      </c>
      <c r="I23" s="4" t="str">
        <f>HYPERLINK("http://141.218.60.56/~jnz1568/getInfo.php?workbook=16_14.xlsx&amp;sheet=A0&amp;row=23&amp;col=9&amp;number=&amp;sourceID=48","")</f>
        <v/>
      </c>
      <c r="J23" s="4" t="str">
        <f>HYPERLINK("http://141.218.60.56/~jnz1568/getInfo.php?workbook=16_14.xlsx&amp;sheet=A0&amp;row=23&amp;col=10&amp;number=&amp;sourceID=49","")</f>
        <v/>
      </c>
      <c r="K23" s="4" t="str">
        <f>HYPERLINK("http://141.218.60.56/~jnz1568/getInfo.php?workbook=16_14.xlsx&amp;sheet=A0&amp;row=23&amp;col=11&amp;number=&amp;sourceID=49","")</f>
        <v/>
      </c>
    </row>
    <row r="24" spans="1:11">
      <c r="A24" s="3">
        <v>16</v>
      </c>
      <c r="B24" s="3">
        <v>14</v>
      </c>
      <c r="C24" s="3">
        <v>8</v>
      </c>
      <c r="D24" s="3">
        <v>3</v>
      </c>
      <c r="E24" s="3">
        <f>((1/(INDEX(E0!J$4:J$47,C24,1)-INDEX(E0!J$4:J$47,D24,1))))*100000000</f>
        <v>0</v>
      </c>
      <c r="F24" s="4" t="str">
        <f>HYPERLINK("http://141.218.60.56/~jnz1568/getInfo.php?workbook=16_14.xlsx&amp;sheet=A0&amp;row=24&amp;col=6&amp;number=13883000&amp;sourceID=48","13883000")</f>
        <v>13883000</v>
      </c>
      <c r="G24" s="4" t="str">
        <f>HYPERLINK("http://141.218.60.56/~jnz1568/getInfo.php?workbook=16_14.xlsx&amp;sheet=A0&amp;row=24&amp;col=7&amp;number=&amp;sourceID=48","")</f>
        <v/>
      </c>
      <c r="H24" s="4" t="str">
        <f>HYPERLINK("http://141.218.60.56/~jnz1568/getInfo.php?workbook=16_14.xlsx&amp;sheet=A0&amp;row=24&amp;col=8&amp;number=&amp;sourceID=48","")</f>
        <v/>
      </c>
      <c r="I24" s="4" t="str">
        <f>HYPERLINK("http://141.218.60.56/~jnz1568/getInfo.php?workbook=16_14.xlsx&amp;sheet=A0&amp;row=24&amp;col=9&amp;number=&amp;sourceID=48","")</f>
        <v/>
      </c>
      <c r="J24" s="4" t="str">
        <f>HYPERLINK("http://141.218.60.56/~jnz1568/getInfo.php?workbook=16_14.xlsx&amp;sheet=A0&amp;row=24&amp;col=10&amp;number=&amp;sourceID=49","")</f>
        <v/>
      </c>
      <c r="K24" s="4" t="str">
        <f>HYPERLINK("http://141.218.60.56/~jnz1568/getInfo.php?workbook=16_14.xlsx&amp;sheet=A0&amp;row=24&amp;col=11&amp;number=&amp;sourceID=49","")</f>
        <v/>
      </c>
    </row>
    <row r="25" spans="1:11">
      <c r="A25" s="3">
        <v>16</v>
      </c>
      <c r="B25" s="3">
        <v>14</v>
      </c>
      <c r="C25" s="3">
        <v>8</v>
      </c>
      <c r="D25" s="3">
        <v>4</v>
      </c>
      <c r="E25" s="3">
        <f>((1/(INDEX(E0!J$4:J$47,C25,1)-INDEX(E0!J$4:J$47,D25,1))))*100000000</f>
        <v>0</v>
      </c>
      <c r="F25" s="4" t="str">
        <f>HYPERLINK("http://141.218.60.56/~jnz1568/getInfo.php?workbook=16_14.xlsx&amp;sheet=A0&amp;row=25&amp;col=6&amp;number=5706.7&amp;sourceID=48","5706.7")</f>
        <v>5706.7</v>
      </c>
      <c r="G25" s="4" t="str">
        <f>HYPERLINK("http://141.218.60.56/~jnz1568/getInfo.php?workbook=16_14.xlsx&amp;sheet=A0&amp;row=25&amp;col=7&amp;number=&amp;sourceID=48","")</f>
        <v/>
      </c>
      <c r="H25" s="4" t="str">
        <f>HYPERLINK("http://141.218.60.56/~jnz1568/getInfo.php?workbook=16_14.xlsx&amp;sheet=A0&amp;row=25&amp;col=8&amp;number=&amp;sourceID=48","")</f>
        <v/>
      </c>
      <c r="I25" s="4" t="str">
        <f>HYPERLINK("http://141.218.60.56/~jnz1568/getInfo.php?workbook=16_14.xlsx&amp;sheet=A0&amp;row=25&amp;col=9&amp;number=&amp;sourceID=48","")</f>
        <v/>
      </c>
      <c r="J25" s="4" t="str">
        <f>HYPERLINK("http://141.218.60.56/~jnz1568/getInfo.php?workbook=16_14.xlsx&amp;sheet=A0&amp;row=25&amp;col=10&amp;number=&amp;sourceID=49","")</f>
        <v/>
      </c>
      <c r="K25" s="4" t="str">
        <f>HYPERLINK("http://141.218.60.56/~jnz1568/getInfo.php?workbook=16_14.xlsx&amp;sheet=A0&amp;row=25&amp;col=11&amp;number=&amp;sourceID=49","")</f>
        <v/>
      </c>
    </row>
    <row r="26" spans="1:11">
      <c r="A26" s="3">
        <v>16</v>
      </c>
      <c r="B26" s="3">
        <v>14</v>
      </c>
      <c r="C26" s="3">
        <v>9</v>
      </c>
      <c r="D26" s="3">
        <v>3</v>
      </c>
      <c r="E26" s="3">
        <f>((1/(INDEX(E0!J$4:J$47,C26,1)-INDEX(E0!J$4:J$47,D26,1))))*100000000</f>
        <v>0</v>
      </c>
      <c r="F26" s="4" t="str">
        <f>HYPERLINK("http://141.218.60.56/~jnz1568/getInfo.php?workbook=16_14.xlsx&amp;sheet=A0&amp;row=26&amp;col=6&amp;number=66637000&amp;sourceID=48","66637000")</f>
        <v>66637000</v>
      </c>
      <c r="G26" s="4" t="str">
        <f>HYPERLINK("http://141.218.60.56/~jnz1568/getInfo.php?workbook=16_14.xlsx&amp;sheet=A0&amp;row=26&amp;col=7&amp;number=&amp;sourceID=48","")</f>
        <v/>
      </c>
      <c r="H26" s="4" t="str">
        <f>HYPERLINK("http://141.218.60.56/~jnz1568/getInfo.php?workbook=16_14.xlsx&amp;sheet=A0&amp;row=26&amp;col=8&amp;number=&amp;sourceID=48","")</f>
        <v/>
      </c>
      <c r="I26" s="4" t="str">
        <f>HYPERLINK("http://141.218.60.56/~jnz1568/getInfo.php?workbook=16_14.xlsx&amp;sheet=A0&amp;row=26&amp;col=9&amp;number=&amp;sourceID=48","")</f>
        <v/>
      </c>
      <c r="J26" s="4" t="str">
        <f>HYPERLINK("http://141.218.60.56/~jnz1568/getInfo.php?workbook=16_14.xlsx&amp;sheet=A0&amp;row=26&amp;col=10&amp;number=&amp;sourceID=49","")</f>
        <v/>
      </c>
      <c r="K26" s="4" t="str">
        <f>HYPERLINK("http://141.218.60.56/~jnz1568/getInfo.php?workbook=16_14.xlsx&amp;sheet=A0&amp;row=26&amp;col=11&amp;number=&amp;sourceID=49","")</f>
        <v/>
      </c>
    </row>
    <row r="27" spans="1:11">
      <c r="A27" s="3">
        <v>16</v>
      </c>
      <c r="B27" s="3">
        <v>14</v>
      </c>
      <c r="C27" s="3">
        <v>9</v>
      </c>
      <c r="D27" s="3">
        <v>4</v>
      </c>
      <c r="E27" s="3">
        <f>((1/(INDEX(E0!J$4:J$47,C27,1)-INDEX(E0!J$4:J$47,D27,1))))*100000000</f>
        <v>0</v>
      </c>
      <c r="F27" s="4" t="str">
        <f>HYPERLINK("http://141.218.60.56/~jnz1568/getInfo.php?workbook=16_14.xlsx&amp;sheet=A0&amp;row=27&amp;col=6&amp;number=52439&amp;sourceID=48","52439")</f>
        <v>52439</v>
      </c>
      <c r="G27" s="4" t="str">
        <f>HYPERLINK("http://141.218.60.56/~jnz1568/getInfo.php?workbook=16_14.xlsx&amp;sheet=A0&amp;row=27&amp;col=7&amp;number=&amp;sourceID=48","")</f>
        <v/>
      </c>
      <c r="H27" s="4" t="str">
        <f>HYPERLINK("http://141.218.60.56/~jnz1568/getInfo.php?workbook=16_14.xlsx&amp;sheet=A0&amp;row=27&amp;col=8&amp;number=&amp;sourceID=48","")</f>
        <v/>
      </c>
      <c r="I27" s="4" t="str">
        <f>HYPERLINK("http://141.218.60.56/~jnz1568/getInfo.php?workbook=16_14.xlsx&amp;sheet=A0&amp;row=27&amp;col=9&amp;number=&amp;sourceID=48","")</f>
        <v/>
      </c>
      <c r="J27" s="4" t="str">
        <f>HYPERLINK("http://141.218.60.56/~jnz1568/getInfo.php?workbook=16_14.xlsx&amp;sheet=A0&amp;row=27&amp;col=10&amp;number=&amp;sourceID=49","")</f>
        <v/>
      </c>
      <c r="K27" s="4" t="str">
        <f>HYPERLINK("http://141.218.60.56/~jnz1568/getInfo.php?workbook=16_14.xlsx&amp;sheet=A0&amp;row=27&amp;col=11&amp;number=&amp;sourceID=49","")</f>
        <v/>
      </c>
    </row>
    <row r="28" spans="1:11">
      <c r="A28" s="3">
        <v>16</v>
      </c>
      <c r="B28" s="3">
        <v>14</v>
      </c>
      <c r="C28" s="3">
        <v>10</v>
      </c>
      <c r="D28" s="3">
        <v>2</v>
      </c>
      <c r="E28" s="3">
        <f>((1/(INDEX(E0!J$4:J$47,C28,1)-INDEX(E0!J$4:J$47,D28,1))))*100000000</f>
        <v>0</v>
      </c>
      <c r="F28" s="4" t="str">
        <f>HYPERLINK("http://141.218.60.56/~jnz1568/getInfo.php?workbook=16_14.xlsx&amp;sheet=A0&amp;row=28&amp;col=6&amp;number=67360000&amp;sourceID=48","67360000")</f>
        <v>67360000</v>
      </c>
      <c r="G28" s="4" t="str">
        <f>HYPERLINK("http://141.218.60.56/~jnz1568/getInfo.php?workbook=16_14.xlsx&amp;sheet=A0&amp;row=28&amp;col=7&amp;number=&amp;sourceID=48","")</f>
        <v/>
      </c>
      <c r="H28" s="4" t="str">
        <f>HYPERLINK("http://141.218.60.56/~jnz1568/getInfo.php?workbook=16_14.xlsx&amp;sheet=A0&amp;row=28&amp;col=8&amp;number=&amp;sourceID=48","")</f>
        <v/>
      </c>
      <c r="I28" s="4" t="str">
        <f>HYPERLINK("http://141.218.60.56/~jnz1568/getInfo.php?workbook=16_14.xlsx&amp;sheet=A0&amp;row=28&amp;col=9&amp;number=&amp;sourceID=48","")</f>
        <v/>
      </c>
      <c r="J28" s="4" t="str">
        <f>HYPERLINK("http://141.218.60.56/~jnz1568/getInfo.php?workbook=16_14.xlsx&amp;sheet=A0&amp;row=28&amp;col=10&amp;number=&amp;sourceID=49","")</f>
        <v/>
      </c>
      <c r="K28" s="4" t="str">
        <f>HYPERLINK("http://141.218.60.56/~jnz1568/getInfo.php?workbook=16_14.xlsx&amp;sheet=A0&amp;row=28&amp;col=11&amp;number=&amp;sourceID=49","")</f>
        <v/>
      </c>
    </row>
    <row r="29" spans="1:11">
      <c r="A29" s="3">
        <v>16</v>
      </c>
      <c r="B29" s="3">
        <v>14</v>
      </c>
      <c r="C29" s="3">
        <v>10</v>
      </c>
      <c r="D29" s="3">
        <v>3</v>
      </c>
      <c r="E29" s="3">
        <f>((1/(INDEX(E0!J$4:J$47,C29,1)-INDEX(E0!J$4:J$47,D29,1))))*100000000</f>
        <v>0</v>
      </c>
      <c r="F29" s="4" t="str">
        <f>HYPERLINK("http://141.218.60.56/~jnz1568/getInfo.php?workbook=16_14.xlsx&amp;sheet=A0&amp;row=29&amp;col=6&amp;number=214060000&amp;sourceID=48","214060000")</f>
        <v>214060000</v>
      </c>
      <c r="G29" s="4" t="str">
        <f>HYPERLINK("http://141.218.60.56/~jnz1568/getInfo.php?workbook=16_14.xlsx&amp;sheet=A0&amp;row=29&amp;col=7&amp;number=&amp;sourceID=48","")</f>
        <v/>
      </c>
      <c r="H29" s="4" t="str">
        <f>HYPERLINK("http://141.218.60.56/~jnz1568/getInfo.php?workbook=16_14.xlsx&amp;sheet=A0&amp;row=29&amp;col=8&amp;number=&amp;sourceID=48","")</f>
        <v/>
      </c>
      <c r="I29" s="4" t="str">
        <f>HYPERLINK("http://141.218.60.56/~jnz1568/getInfo.php?workbook=16_14.xlsx&amp;sheet=A0&amp;row=29&amp;col=9&amp;number=&amp;sourceID=48","")</f>
        <v/>
      </c>
      <c r="J29" s="4" t="str">
        <f>HYPERLINK("http://141.218.60.56/~jnz1568/getInfo.php?workbook=16_14.xlsx&amp;sheet=A0&amp;row=29&amp;col=10&amp;number=&amp;sourceID=49","")</f>
        <v/>
      </c>
      <c r="K29" s="4" t="str">
        <f>HYPERLINK("http://141.218.60.56/~jnz1568/getInfo.php?workbook=16_14.xlsx&amp;sheet=A0&amp;row=29&amp;col=11&amp;number=&amp;sourceID=49","")</f>
        <v/>
      </c>
    </row>
    <row r="30" spans="1:11">
      <c r="A30" s="3">
        <v>16</v>
      </c>
      <c r="B30" s="3">
        <v>14</v>
      </c>
      <c r="C30" s="3">
        <v>10</v>
      </c>
      <c r="D30" s="3">
        <v>4</v>
      </c>
      <c r="E30" s="3">
        <f>((1/(INDEX(E0!J$4:J$47,C30,1)-INDEX(E0!J$4:J$47,D30,1))))*100000000</f>
        <v>0</v>
      </c>
      <c r="F30" s="4" t="str">
        <f>HYPERLINK("http://141.218.60.56/~jnz1568/getInfo.php?workbook=16_14.xlsx&amp;sheet=A0&amp;row=30&amp;col=6&amp;number=98462&amp;sourceID=48","98462")</f>
        <v>98462</v>
      </c>
      <c r="G30" s="4" t="str">
        <f>HYPERLINK("http://141.218.60.56/~jnz1568/getInfo.php?workbook=16_14.xlsx&amp;sheet=A0&amp;row=30&amp;col=7&amp;number=&amp;sourceID=48","")</f>
        <v/>
      </c>
      <c r="H30" s="4" t="str">
        <f>HYPERLINK("http://141.218.60.56/~jnz1568/getInfo.php?workbook=16_14.xlsx&amp;sheet=A0&amp;row=30&amp;col=8&amp;number=&amp;sourceID=48","")</f>
        <v/>
      </c>
      <c r="I30" s="4" t="str">
        <f>HYPERLINK("http://141.218.60.56/~jnz1568/getInfo.php?workbook=16_14.xlsx&amp;sheet=A0&amp;row=30&amp;col=9&amp;number=&amp;sourceID=48","")</f>
        <v/>
      </c>
      <c r="J30" s="4" t="str">
        <f>HYPERLINK("http://141.218.60.56/~jnz1568/getInfo.php?workbook=16_14.xlsx&amp;sheet=A0&amp;row=30&amp;col=10&amp;number=&amp;sourceID=49","")</f>
        <v/>
      </c>
      <c r="K30" s="4" t="str">
        <f>HYPERLINK("http://141.218.60.56/~jnz1568/getInfo.php?workbook=16_14.xlsx&amp;sheet=A0&amp;row=30&amp;col=11&amp;number=&amp;sourceID=49","")</f>
        <v/>
      </c>
    </row>
    <row r="31" spans="1:11">
      <c r="A31" s="3">
        <v>16</v>
      </c>
      <c r="B31" s="3">
        <v>14</v>
      </c>
      <c r="C31" s="3">
        <v>11</v>
      </c>
      <c r="D31" s="3">
        <v>1</v>
      </c>
      <c r="E31" s="3">
        <f>((1/(INDEX(E0!J$4:J$47,C31,1)-INDEX(E0!J$4:J$47,D31,1))))*100000000</f>
        <v>0</v>
      </c>
      <c r="F31" s="4" t="str">
        <f>HYPERLINK("http://141.218.60.56/~jnz1568/getInfo.php?workbook=16_14.xlsx&amp;sheet=A0&amp;row=31&amp;col=6&amp;number=94553000&amp;sourceID=48","94553000")</f>
        <v>94553000</v>
      </c>
      <c r="G31" s="4" t="str">
        <f>HYPERLINK("http://141.218.60.56/~jnz1568/getInfo.php?workbook=16_14.xlsx&amp;sheet=A0&amp;row=31&amp;col=7&amp;number=&amp;sourceID=48","")</f>
        <v/>
      </c>
      <c r="H31" s="4" t="str">
        <f>HYPERLINK("http://141.218.60.56/~jnz1568/getInfo.php?workbook=16_14.xlsx&amp;sheet=A0&amp;row=31&amp;col=8&amp;number=&amp;sourceID=48","")</f>
        <v/>
      </c>
      <c r="I31" s="4" t="str">
        <f>HYPERLINK("http://141.218.60.56/~jnz1568/getInfo.php?workbook=16_14.xlsx&amp;sheet=A0&amp;row=31&amp;col=9&amp;number=&amp;sourceID=48","")</f>
        <v/>
      </c>
      <c r="J31" s="4" t="str">
        <f>HYPERLINK("http://141.218.60.56/~jnz1568/getInfo.php?workbook=16_14.xlsx&amp;sheet=A0&amp;row=31&amp;col=10&amp;number=&amp;sourceID=49","")</f>
        <v/>
      </c>
      <c r="K31" s="4" t="str">
        <f>HYPERLINK("http://141.218.60.56/~jnz1568/getInfo.php?workbook=16_14.xlsx&amp;sheet=A0&amp;row=31&amp;col=11&amp;number=&amp;sourceID=49","")</f>
        <v/>
      </c>
    </row>
    <row r="32" spans="1:11">
      <c r="A32" s="3">
        <v>16</v>
      </c>
      <c r="B32" s="3">
        <v>14</v>
      </c>
      <c r="C32" s="3">
        <v>11</v>
      </c>
      <c r="D32" s="3">
        <v>2</v>
      </c>
      <c r="E32" s="3">
        <f>((1/(INDEX(E0!J$4:J$47,C32,1)-INDEX(E0!J$4:J$47,D32,1))))*100000000</f>
        <v>0</v>
      </c>
      <c r="F32" s="4" t="str">
        <f>HYPERLINK("http://141.218.60.56/~jnz1568/getInfo.php?workbook=16_14.xlsx&amp;sheet=A0&amp;row=32&amp;col=6&amp;number=74384000&amp;sourceID=48","74384000")</f>
        <v>74384000</v>
      </c>
      <c r="G32" s="4" t="str">
        <f>HYPERLINK("http://141.218.60.56/~jnz1568/getInfo.php?workbook=16_14.xlsx&amp;sheet=A0&amp;row=32&amp;col=7&amp;number=&amp;sourceID=48","")</f>
        <v/>
      </c>
      <c r="H32" s="4" t="str">
        <f>HYPERLINK("http://141.218.60.56/~jnz1568/getInfo.php?workbook=16_14.xlsx&amp;sheet=A0&amp;row=32&amp;col=8&amp;number=&amp;sourceID=48","")</f>
        <v/>
      </c>
      <c r="I32" s="4" t="str">
        <f>HYPERLINK("http://141.218.60.56/~jnz1568/getInfo.php?workbook=16_14.xlsx&amp;sheet=A0&amp;row=32&amp;col=9&amp;number=&amp;sourceID=48","")</f>
        <v/>
      </c>
      <c r="J32" s="4" t="str">
        <f>HYPERLINK("http://141.218.60.56/~jnz1568/getInfo.php?workbook=16_14.xlsx&amp;sheet=A0&amp;row=32&amp;col=10&amp;number=&amp;sourceID=49","")</f>
        <v/>
      </c>
      <c r="K32" s="4" t="str">
        <f>HYPERLINK("http://141.218.60.56/~jnz1568/getInfo.php?workbook=16_14.xlsx&amp;sheet=A0&amp;row=32&amp;col=11&amp;number=&amp;sourceID=49","")</f>
        <v/>
      </c>
    </row>
    <row r="33" spans="1:11">
      <c r="A33" s="3">
        <v>16</v>
      </c>
      <c r="B33" s="3">
        <v>14</v>
      </c>
      <c r="C33" s="3">
        <v>11</v>
      </c>
      <c r="D33" s="3">
        <v>3</v>
      </c>
      <c r="E33" s="3">
        <f>((1/(INDEX(E0!J$4:J$47,C33,1)-INDEX(E0!J$4:J$47,D33,1))))*100000000</f>
        <v>0</v>
      </c>
      <c r="F33" s="4" t="str">
        <f>HYPERLINK("http://141.218.60.56/~jnz1568/getInfo.php?workbook=16_14.xlsx&amp;sheet=A0&amp;row=33&amp;col=6&amp;number=119360000&amp;sourceID=48","119360000")</f>
        <v>119360000</v>
      </c>
      <c r="G33" s="4" t="str">
        <f>HYPERLINK("http://141.218.60.56/~jnz1568/getInfo.php?workbook=16_14.xlsx&amp;sheet=A0&amp;row=33&amp;col=7&amp;number=&amp;sourceID=48","")</f>
        <v/>
      </c>
      <c r="H33" s="4" t="str">
        <f>HYPERLINK("http://141.218.60.56/~jnz1568/getInfo.php?workbook=16_14.xlsx&amp;sheet=A0&amp;row=33&amp;col=8&amp;number=&amp;sourceID=48","")</f>
        <v/>
      </c>
      <c r="I33" s="4" t="str">
        <f>HYPERLINK("http://141.218.60.56/~jnz1568/getInfo.php?workbook=16_14.xlsx&amp;sheet=A0&amp;row=33&amp;col=9&amp;number=&amp;sourceID=48","")</f>
        <v/>
      </c>
      <c r="J33" s="4" t="str">
        <f>HYPERLINK("http://141.218.60.56/~jnz1568/getInfo.php?workbook=16_14.xlsx&amp;sheet=A0&amp;row=33&amp;col=10&amp;number=&amp;sourceID=49","")</f>
        <v/>
      </c>
      <c r="K33" s="4" t="str">
        <f>HYPERLINK("http://141.218.60.56/~jnz1568/getInfo.php?workbook=16_14.xlsx&amp;sheet=A0&amp;row=33&amp;col=11&amp;number=&amp;sourceID=49","")</f>
        <v/>
      </c>
    </row>
    <row r="34" spans="1:11">
      <c r="A34" s="3">
        <v>16</v>
      </c>
      <c r="B34" s="3">
        <v>14</v>
      </c>
      <c r="C34" s="3">
        <v>11</v>
      </c>
      <c r="D34" s="3">
        <v>4</v>
      </c>
      <c r="E34" s="3">
        <f>((1/(INDEX(E0!J$4:J$47,C34,1)-INDEX(E0!J$4:J$47,D34,1))))*100000000</f>
        <v>0</v>
      </c>
      <c r="F34" s="4" t="str">
        <f>HYPERLINK("http://141.218.60.56/~jnz1568/getInfo.php?workbook=16_14.xlsx&amp;sheet=A0&amp;row=34&amp;col=6&amp;number=92719&amp;sourceID=48","92719")</f>
        <v>92719</v>
      </c>
      <c r="G34" s="4" t="str">
        <f>HYPERLINK("http://141.218.60.56/~jnz1568/getInfo.php?workbook=16_14.xlsx&amp;sheet=A0&amp;row=34&amp;col=7&amp;number=&amp;sourceID=48","")</f>
        <v/>
      </c>
      <c r="H34" s="4" t="str">
        <f>HYPERLINK("http://141.218.60.56/~jnz1568/getInfo.php?workbook=16_14.xlsx&amp;sheet=A0&amp;row=34&amp;col=8&amp;number=&amp;sourceID=48","")</f>
        <v/>
      </c>
      <c r="I34" s="4" t="str">
        <f>HYPERLINK("http://141.218.60.56/~jnz1568/getInfo.php?workbook=16_14.xlsx&amp;sheet=A0&amp;row=34&amp;col=9&amp;number=&amp;sourceID=48","")</f>
        <v/>
      </c>
      <c r="J34" s="4" t="str">
        <f>HYPERLINK("http://141.218.60.56/~jnz1568/getInfo.php?workbook=16_14.xlsx&amp;sheet=A0&amp;row=34&amp;col=10&amp;number=&amp;sourceID=49","")</f>
        <v/>
      </c>
      <c r="K34" s="4" t="str">
        <f>HYPERLINK("http://141.218.60.56/~jnz1568/getInfo.php?workbook=16_14.xlsx&amp;sheet=A0&amp;row=34&amp;col=11&amp;number=&amp;sourceID=49","")</f>
        <v/>
      </c>
    </row>
    <row r="35" spans="1:11">
      <c r="A35" s="3">
        <v>16</v>
      </c>
      <c r="B35" s="3">
        <v>14</v>
      </c>
      <c r="C35" s="3">
        <v>11</v>
      </c>
      <c r="D35" s="3">
        <v>5</v>
      </c>
      <c r="E35" s="3">
        <f>((1/(INDEX(E0!J$4:J$47,C35,1)-INDEX(E0!J$4:J$47,D35,1))))*100000000</f>
        <v>0</v>
      </c>
      <c r="F35" s="4" t="str">
        <f>HYPERLINK("http://141.218.60.56/~jnz1568/getInfo.php?workbook=16_14.xlsx&amp;sheet=A0&amp;row=35&amp;col=6&amp;number=24779&amp;sourceID=48","24779")</f>
        <v>24779</v>
      </c>
      <c r="G35" s="4" t="str">
        <f>HYPERLINK("http://141.218.60.56/~jnz1568/getInfo.php?workbook=16_14.xlsx&amp;sheet=A0&amp;row=35&amp;col=7&amp;number=&amp;sourceID=48","")</f>
        <v/>
      </c>
      <c r="H35" s="4" t="str">
        <f>HYPERLINK("http://141.218.60.56/~jnz1568/getInfo.php?workbook=16_14.xlsx&amp;sheet=A0&amp;row=35&amp;col=8&amp;number=&amp;sourceID=48","")</f>
        <v/>
      </c>
      <c r="I35" s="4" t="str">
        <f>HYPERLINK("http://141.218.60.56/~jnz1568/getInfo.php?workbook=16_14.xlsx&amp;sheet=A0&amp;row=35&amp;col=9&amp;number=&amp;sourceID=48","")</f>
        <v/>
      </c>
      <c r="J35" s="4" t="str">
        <f>HYPERLINK("http://141.218.60.56/~jnz1568/getInfo.php?workbook=16_14.xlsx&amp;sheet=A0&amp;row=35&amp;col=10&amp;number=&amp;sourceID=49","")</f>
        <v/>
      </c>
      <c r="K35" s="4" t="str">
        <f>HYPERLINK("http://141.218.60.56/~jnz1568/getInfo.php?workbook=16_14.xlsx&amp;sheet=A0&amp;row=35&amp;col=11&amp;number=&amp;sourceID=49","")</f>
        <v/>
      </c>
    </row>
    <row r="36" spans="1:11">
      <c r="A36" s="3">
        <v>16</v>
      </c>
      <c r="B36" s="3">
        <v>14</v>
      </c>
      <c r="C36" s="3">
        <v>12</v>
      </c>
      <c r="D36" s="3">
        <v>2</v>
      </c>
      <c r="E36" s="3">
        <f>((1/(INDEX(E0!J$4:J$47,C36,1)-INDEX(E0!J$4:J$47,D36,1))))*100000000</f>
        <v>0</v>
      </c>
      <c r="F36" s="4" t="str">
        <f>HYPERLINK("http://141.218.60.56/~jnz1568/getInfo.php?workbook=16_14.xlsx&amp;sheet=A0&amp;row=36&amp;col=6&amp;number=291890000&amp;sourceID=48","291890000")</f>
        <v>291890000</v>
      </c>
      <c r="G36" s="4" t="str">
        <f>HYPERLINK("http://141.218.60.56/~jnz1568/getInfo.php?workbook=16_14.xlsx&amp;sheet=A0&amp;row=36&amp;col=7&amp;number=&amp;sourceID=48","")</f>
        <v/>
      </c>
      <c r="H36" s="4" t="str">
        <f>HYPERLINK("http://141.218.60.56/~jnz1568/getInfo.php?workbook=16_14.xlsx&amp;sheet=A0&amp;row=36&amp;col=8&amp;number=&amp;sourceID=48","")</f>
        <v/>
      </c>
      <c r="I36" s="4" t="str">
        <f>HYPERLINK("http://141.218.60.56/~jnz1568/getInfo.php?workbook=16_14.xlsx&amp;sheet=A0&amp;row=36&amp;col=9&amp;number=&amp;sourceID=48","")</f>
        <v/>
      </c>
      <c r="J36" s="4" t="str">
        <f>HYPERLINK("http://141.218.60.56/~jnz1568/getInfo.php?workbook=16_14.xlsx&amp;sheet=A0&amp;row=36&amp;col=10&amp;number=&amp;sourceID=49","")</f>
        <v/>
      </c>
      <c r="K36" s="4" t="str">
        <f>HYPERLINK("http://141.218.60.56/~jnz1568/getInfo.php?workbook=16_14.xlsx&amp;sheet=A0&amp;row=36&amp;col=11&amp;number=&amp;sourceID=49","")</f>
        <v/>
      </c>
    </row>
    <row r="37" spans="1:11">
      <c r="A37" s="3">
        <v>16</v>
      </c>
      <c r="B37" s="3">
        <v>14</v>
      </c>
      <c r="C37" s="3">
        <v>13</v>
      </c>
      <c r="D37" s="3">
        <v>2</v>
      </c>
      <c r="E37" s="3">
        <f>((1/(INDEX(E0!J$4:J$47,C37,1)-INDEX(E0!J$4:J$47,D37,1))))*100000000</f>
        <v>0</v>
      </c>
      <c r="F37" s="4" t="str">
        <f>HYPERLINK("http://141.218.60.56/~jnz1568/getInfo.php?workbook=16_14.xlsx&amp;sheet=A0&amp;row=37&amp;col=6&amp;number=380200&amp;sourceID=48","380200")</f>
        <v>380200</v>
      </c>
      <c r="G37" s="4" t="str">
        <f>HYPERLINK("http://141.218.60.56/~jnz1568/getInfo.php?workbook=16_14.xlsx&amp;sheet=A0&amp;row=37&amp;col=7&amp;number=&amp;sourceID=48","")</f>
        <v/>
      </c>
      <c r="H37" s="4" t="str">
        <f>HYPERLINK("http://141.218.60.56/~jnz1568/getInfo.php?workbook=16_14.xlsx&amp;sheet=A0&amp;row=37&amp;col=8&amp;number=&amp;sourceID=48","")</f>
        <v/>
      </c>
      <c r="I37" s="4" t="str">
        <f>HYPERLINK("http://141.218.60.56/~jnz1568/getInfo.php?workbook=16_14.xlsx&amp;sheet=A0&amp;row=37&amp;col=9&amp;number=&amp;sourceID=48","")</f>
        <v/>
      </c>
      <c r="J37" s="4" t="str">
        <f>HYPERLINK("http://141.218.60.56/~jnz1568/getInfo.php?workbook=16_14.xlsx&amp;sheet=A0&amp;row=37&amp;col=10&amp;number=&amp;sourceID=49","")</f>
        <v/>
      </c>
      <c r="K37" s="4" t="str">
        <f>HYPERLINK("http://141.218.60.56/~jnz1568/getInfo.php?workbook=16_14.xlsx&amp;sheet=A0&amp;row=37&amp;col=11&amp;number=&amp;sourceID=49","")</f>
        <v/>
      </c>
    </row>
    <row r="38" spans="1:11">
      <c r="A38" s="3">
        <v>16</v>
      </c>
      <c r="B38" s="3">
        <v>14</v>
      </c>
      <c r="C38" s="3">
        <v>13</v>
      </c>
      <c r="D38" s="3">
        <v>3</v>
      </c>
      <c r="E38" s="3">
        <f>((1/(INDEX(E0!J$4:J$47,C38,1)-INDEX(E0!J$4:J$47,D38,1))))*100000000</f>
        <v>0</v>
      </c>
      <c r="F38" s="4" t="str">
        <f>HYPERLINK("http://141.218.60.56/~jnz1568/getInfo.php?workbook=16_14.xlsx&amp;sheet=A0&amp;row=38&amp;col=6&amp;number=129840&amp;sourceID=48","129840")</f>
        <v>129840</v>
      </c>
      <c r="G38" s="4" t="str">
        <f>HYPERLINK("http://141.218.60.56/~jnz1568/getInfo.php?workbook=16_14.xlsx&amp;sheet=A0&amp;row=38&amp;col=7&amp;number=&amp;sourceID=48","")</f>
        <v/>
      </c>
      <c r="H38" s="4" t="str">
        <f>HYPERLINK("http://141.218.60.56/~jnz1568/getInfo.php?workbook=16_14.xlsx&amp;sheet=A0&amp;row=38&amp;col=8&amp;number=&amp;sourceID=48","")</f>
        <v/>
      </c>
      <c r="I38" s="4" t="str">
        <f>HYPERLINK("http://141.218.60.56/~jnz1568/getInfo.php?workbook=16_14.xlsx&amp;sheet=A0&amp;row=38&amp;col=9&amp;number=&amp;sourceID=48","")</f>
        <v/>
      </c>
      <c r="J38" s="4" t="str">
        <f>HYPERLINK("http://141.218.60.56/~jnz1568/getInfo.php?workbook=16_14.xlsx&amp;sheet=A0&amp;row=38&amp;col=10&amp;number=&amp;sourceID=49","")</f>
        <v/>
      </c>
      <c r="K38" s="4" t="str">
        <f>HYPERLINK("http://141.218.60.56/~jnz1568/getInfo.php?workbook=16_14.xlsx&amp;sheet=A0&amp;row=38&amp;col=11&amp;number=&amp;sourceID=49","")</f>
        <v/>
      </c>
    </row>
    <row r="39" spans="1:11">
      <c r="A39" s="3">
        <v>16</v>
      </c>
      <c r="B39" s="3">
        <v>14</v>
      </c>
      <c r="C39" s="3">
        <v>13</v>
      </c>
      <c r="D39" s="3">
        <v>4</v>
      </c>
      <c r="E39" s="3">
        <f>((1/(INDEX(E0!J$4:J$47,C39,1)-INDEX(E0!J$4:J$47,D39,1))))*100000000</f>
        <v>0</v>
      </c>
      <c r="F39" s="4" t="str">
        <f>HYPERLINK("http://141.218.60.56/~jnz1568/getInfo.php?workbook=16_14.xlsx&amp;sheet=A0&amp;row=39&amp;col=6&amp;number=135550000&amp;sourceID=48","135550000")</f>
        <v>135550000</v>
      </c>
      <c r="G39" s="4" t="str">
        <f>HYPERLINK("http://141.218.60.56/~jnz1568/getInfo.php?workbook=16_14.xlsx&amp;sheet=A0&amp;row=39&amp;col=7&amp;number=&amp;sourceID=48","")</f>
        <v/>
      </c>
      <c r="H39" s="4" t="str">
        <f>HYPERLINK("http://141.218.60.56/~jnz1568/getInfo.php?workbook=16_14.xlsx&amp;sheet=A0&amp;row=39&amp;col=8&amp;number=&amp;sourceID=48","")</f>
        <v/>
      </c>
      <c r="I39" s="4" t="str">
        <f>HYPERLINK("http://141.218.60.56/~jnz1568/getInfo.php?workbook=16_14.xlsx&amp;sheet=A0&amp;row=39&amp;col=9&amp;number=&amp;sourceID=48","")</f>
        <v/>
      </c>
      <c r="J39" s="4" t="str">
        <f>HYPERLINK("http://141.218.60.56/~jnz1568/getInfo.php?workbook=16_14.xlsx&amp;sheet=A0&amp;row=39&amp;col=10&amp;number=&amp;sourceID=49","")</f>
        <v/>
      </c>
      <c r="K39" s="4" t="str">
        <f>HYPERLINK("http://141.218.60.56/~jnz1568/getInfo.php?workbook=16_14.xlsx&amp;sheet=A0&amp;row=39&amp;col=11&amp;number=&amp;sourceID=49","")</f>
        <v/>
      </c>
    </row>
    <row r="40" spans="1:11">
      <c r="A40" s="3">
        <v>16</v>
      </c>
      <c r="B40" s="3">
        <v>14</v>
      </c>
      <c r="C40" s="3">
        <v>13</v>
      </c>
      <c r="D40" s="3">
        <v>4</v>
      </c>
      <c r="E40" s="3">
        <f>((1/(INDEX(E0!J$4:J$47,C40,1)-INDEX(E0!J$4:J$47,D40,1))))*100000000</f>
        <v>0</v>
      </c>
      <c r="F40" s="4" t="str">
        <f>HYPERLINK("http://141.218.60.56/~jnz1568/getInfo.php?workbook=16_14.xlsx&amp;sheet=A0&amp;row=40&amp;col=6&amp;number=135550000&amp;sourceID=48","135550000")</f>
        <v>135550000</v>
      </c>
      <c r="G40" s="4" t="str">
        <f>HYPERLINK("http://141.218.60.56/~jnz1568/getInfo.php?workbook=16_14.xlsx&amp;sheet=A0&amp;row=40&amp;col=7&amp;number=&amp;sourceID=48","")</f>
        <v/>
      </c>
      <c r="H40" s="4" t="str">
        <f>HYPERLINK("http://141.218.60.56/~jnz1568/getInfo.php?workbook=16_14.xlsx&amp;sheet=A0&amp;row=40&amp;col=8&amp;number=&amp;sourceID=48","")</f>
        <v/>
      </c>
      <c r="I40" s="4" t="str">
        <f>HYPERLINK("http://141.218.60.56/~jnz1568/getInfo.php?workbook=16_14.xlsx&amp;sheet=A0&amp;row=40&amp;col=9&amp;number=&amp;sourceID=48","")</f>
        <v/>
      </c>
      <c r="J40" s="4" t="str">
        <f>HYPERLINK("http://141.218.60.56/~jnz1568/getInfo.php?workbook=16_14.xlsx&amp;sheet=A0&amp;row=40&amp;col=10&amp;number=&amp;sourceID=49","")</f>
        <v/>
      </c>
      <c r="K40" s="4" t="str">
        <f>HYPERLINK("http://141.218.60.56/~jnz1568/getInfo.php?workbook=16_14.xlsx&amp;sheet=A0&amp;row=40&amp;col=11&amp;number=&amp;sourceID=49","")</f>
        <v/>
      </c>
    </row>
    <row r="41" spans="1:11">
      <c r="A41" s="3">
        <v>16</v>
      </c>
      <c r="B41" s="3">
        <v>14</v>
      </c>
      <c r="C41" s="3">
        <v>14</v>
      </c>
      <c r="D41" s="3">
        <v>2</v>
      </c>
      <c r="E41" s="3">
        <f>((1/(INDEX(E0!J$4:J$47,C41,1)-INDEX(E0!J$4:J$47,D41,1))))*100000000</f>
        <v>0</v>
      </c>
      <c r="F41" s="4" t="str">
        <f>HYPERLINK("http://141.218.60.56/~jnz1568/getInfo.php?workbook=16_14.xlsx&amp;sheet=A0&amp;row=41&amp;col=6&amp;number=331760&amp;sourceID=48","331760")</f>
        <v>331760</v>
      </c>
      <c r="G41" s="4" t="str">
        <f>HYPERLINK("http://141.218.60.56/~jnz1568/getInfo.php?workbook=16_14.xlsx&amp;sheet=A0&amp;row=41&amp;col=7&amp;number=&amp;sourceID=48","")</f>
        <v/>
      </c>
      <c r="H41" s="4" t="str">
        <f>HYPERLINK("http://141.218.60.56/~jnz1568/getInfo.php?workbook=16_14.xlsx&amp;sheet=A0&amp;row=41&amp;col=8&amp;number=&amp;sourceID=48","")</f>
        <v/>
      </c>
      <c r="I41" s="4" t="str">
        <f>HYPERLINK("http://141.218.60.56/~jnz1568/getInfo.php?workbook=16_14.xlsx&amp;sheet=A0&amp;row=41&amp;col=9&amp;number=&amp;sourceID=48","")</f>
        <v/>
      </c>
      <c r="J41" s="4" t="str">
        <f>HYPERLINK("http://141.218.60.56/~jnz1568/getInfo.php?workbook=16_14.xlsx&amp;sheet=A0&amp;row=41&amp;col=10&amp;number=&amp;sourceID=49","")</f>
        <v/>
      </c>
      <c r="K41" s="4" t="str">
        <f>HYPERLINK("http://141.218.60.56/~jnz1568/getInfo.php?workbook=16_14.xlsx&amp;sheet=A0&amp;row=41&amp;col=11&amp;number=&amp;sourceID=49","")</f>
        <v/>
      </c>
    </row>
    <row r="42" spans="1:11">
      <c r="A42" s="3">
        <v>16</v>
      </c>
      <c r="B42" s="3">
        <v>14</v>
      </c>
      <c r="C42" s="3">
        <v>14</v>
      </c>
      <c r="D42" s="3">
        <v>3</v>
      </c>
      <c r="E42" s="3">
        <f>((1/(INDEX(E0!J$4:J$47,C42,1)-INDEX(E0!J$4:J$47,D42,1))))*100000000</f>
        <v>0</v>
      </c>
      <c r="F42" s="4" t="str">
        <f>HYPERLINK("http://141.218.60.56/~jnz1568/getInfo.php?workbook=16_14.xlsx&amp;sheet=A0&amp;row=42&amp;col=6&amp;number=116650&amp;sourceID=48","116650")</f>
        <v>116650</v>
      </c>
      <c r="G42" s="4" t="str">
        <f>HYPERLINK("http://141.218.60.56/~jnz1568/getInfo.php?workbook=16_14.xlsx&amp;sheet=A0&amp;row=42&amp;col=7&amp;number=&amp;sourceID=48","")</f>
        <v/>
      </c>
      <c r="H42" s="4" t="str">
        <f>HYPERLINK("http://141.218.60.56/~jnz1568/getInfo.php?workbook=16_14.xlsx&amp;sheet=A0&amp;row=42&amp;col=8&amp;number=&amp;sourceID=48","")</f>
        <v/>
      </c>
      <c r="I42" s="4" t="str">
        <f>HYPERLINK("http://141.218.60.56/~jnz1568/getInfo.php?workbook=16_14.xlsx&amp;sheet=A0&amp;row=42&amp;col=9&amp;number=&amp;sourceID=48","")</f>
        <v/>
      </c>
      <c r="J42" s="4" t="str">
        <f>HYPERLINK("http://141.218.60.56/~jnz1568/getInfo.php?workbook=16_14.xlsx&amp;sheet=A0&amp;row=42&amp;col=10&amp;number=&amp;sourceID=49","")</f>
        <v/>
      </c>
      <c r="K42" s="4" t="str">
        <f>HYPERLINK("http://141.218.60.56/~jnz1568/getInfo.php?workbook=16_14.xlsx&amp;sheet=A0&amp;row=42&amp;col=11&amp;number=&amp;sourceID=49","")</f>
        <v/>
      </c>
    </row>
    <row r="43" spans="1:11">
      <c r="A43" s="3">
        <v>16</v>
      </c>
      <c r="B43" s="3">
        <v>14</v>
      </c>
      <c r="C43" s="3">
        <v>14</v>
      </c>
      <c r="D43" s="3">
        <v>4</v>
      </c>
      <c r="E43" s="3">
        <f>((1/(INDEX(E0!J$4:J$47,C43,1)-INDEX(E0!J$4:J$47,D43,1))))*100000000</f>
        <v>0</v>
      </c>
      <c r="F43" s="4" t="str">
        <f>HYPERLINK("http://141.218.60.56/~jnz1568/getInfo.php?workbook=16_14.xlsx&amp;sheet=A0&amp;row=43&amp;col=6&amp;number=324720&amp;sourceID=48","324720")</f>
        <v>324720</v>
      </c>
      <c r="G43" s="4" t="str">
        <f>HYPERLINK("http://141.218.60.56/~jnz1568/getInfo.php?workbook=16_14.xlsx&amp;sheet=A0&amp;row=43&amp;col=7&amp;number=&amp;sourceID=48","")</f>
        <v/>
      </c>
      <c r="H43" s="4" t="str">
        <f>HYPERLINK("http://141.218.60.56/~jnz1568/getInfo.php?workbook=16_14.xlsx&amp;sheet=A0&amp;row=43&amp;col=8&amp;number=&amp;sourceID=48","")</f>
        <v/>
      </c>
      <c r="I43" s="4" t="str">
        <f>HYPERLINK("http://141.218.60.56/~jnz1568/getInfo.php?workbook=16_14.xlsx&amp;sheet=A0&amp;row=43&amp;col=9&amp;number=&amp;sourceID=48","")</f>
        <v/>
      </c>
      <c r="J43" s="4" t="str">
        <f>HYPERLINK("http://141.218.60.56/~jnz1568/getInfo.php?workbook=16_14.xlsx&amp;sheet=A0&amp;row=43&amp;col=10&amp;number=&amp;sourceID=49","")</f>
        <v/>
      </c>
      <c r="K43" s="4" t="str">
        <f>HYPERLINK("http://141.218.60.56/~jnz1568/getInfo.php?workbook=16_14.xlsx&amp;sheet=A0&amp;row=43&amp;col=11&amp;number=&amp;sourceID=49","")</f>
        <v/>
      </c>
    </row>
    <row r="44" spans="1:11">
      <c r="A44" s="3">
        <v>16</v>
      </c>
      <c r="B44" s="3">
        <v>14</v>
      </c>
      <c r="C44" s="3">
        <v>15</v>
      </c>
      <c r="D44" s="3">
        <v>3</v>
      </c>
      <c r="E44" s="3">
        <f>((1/(INDEX(E0!J$4:J$47,C44,1)-INDEX(E0!J$4:J$47,D44,1))))*100000000</f>
        <v>0</v>
      </c>
      <c r="F44" s="4" t="str">
        <f>HYPERLINK("http://141.218.60.56/~jnz1568/getInfo.php?workbook=16_14.xlsx&amp;sheet=A0&amp;row=44&amp;col=6&amp;number=663830&amp;sourceID=48","663830")</f>
        <v>663830</v>
      </c>
      <c r="G44" s="4" t="str">
        <f>HYPERLINK("http://141.218.60.56/~jnz1568/getInfo.php?workbook=16_14.xlsx&amp;sheet=A0&amp;row=44&amp;col=7&amp;number=&amp;sourceID=48","")</f>
        <v/>
      </c>
      <c r="H44" s="4" t="str">
        <f>HYPERLINK("http://141.218.60.56/~jnz1568/getInfo.php?workbook=16_14.xlsx&amp;sheet=A0&amp;row=44&amp;col=8&amp;number=&amp;sourceID=48","")</f>
        <v/>
      </c>
      <c r="I44" s="4" t="str">
        <f>HYPERLINK("http://141.218.60.56/~jnz1568/getInfo.php?workbook=16_14.xlsx&amp;sheet=A0&amp;row=44&amp;col=9&amp;number=&amp;sourceID=48","")</f>
        <v/>
      </c>
      <c r="J44" s="4" t="str">
        <f>HYPERLINK("http://141.218.60.56/~jnz1568/getInfo.php?workbook=16_14.xlsx&amp;sheet=A0&amp;row=44&amp;col=10&amp;number=&amp;sourceID=49","")</f>
        <v/>
      </c>
      <c r="K44" s="4" t="str">
        <f>HYPERLINK("http://141.218.60.56/~jnz1568/getInfo.php?workbook=16_14.xlsx&amp;sheet=A0&amp;row=44&amp;col=11&amp;number=&amp;sourceID=49","")</f>
        <v/>
      </c>
    </row>
    <row r="45" spans="1:11">
      <c r="A45" s="3">
        <v>16</v>
      </c>
      <c r="B45" s="3">
        <v>14</v>
      </c>
      <c r="C45" s="3">
        <v>15</v>
      </c>
      <c r="D45" s="3">
        <v>4</v>
      </c>
      <c r="E45" s="3">
        <f>((1/(INDEX(E0!J$4:J$47,C45,1)-INDEX(E0!J$4:J$47,D45,1))))*100000000</f>
        <v>0</v>
      </c>
      <c r="F45" s="4" t="str">
        <f>HYPERLINK("http://141.218.60.56/~jnz1568/getInfo.php?workbook=16_14.xlsx&amp;sheet=A0&amp;row=45&amp;col=6&amp;number=350040&amp;sourceID=48","350040")</f>
        <v>350040</v>
      </c>
      <c r="G45" s="4" t="str">
        <f>HYPERLINK("http://141.218.60.56/~jnz1568/getInfo.php?workbook=16_14.xlsx&amp;sheet=A0&amp;row=45&amp;col=7&amp;number=&amp;sourceID=48","")</f>
        <v/>
      </c>
      <c r="H45" s="4" t="str">
        <f>HYPERLINK("http://141.218.60.56/~jnz1568/getInfo.php?workbook=16_14.xlsx&amp;sheet=A0&amp;row=45&amp;col=8&amp;number=&amp;sourceID=48","")</f>
        <v/>
      </c>
      <c r="I45" s="4" t="str">
        <f>HYPERLINK("http://141.218.60.56/~jnz1568/getInfo.php?workbook=16_14.xlsx&amp;sheet=A0&amp;row=45&amp;col=9&amp;number=&amp;sourceID=48","")</f>
        <v/>
      </c>
      <c r="J45" s="4" t="str">
        <f>HYPERLINK("http://141.218.60.56/~jnz1568/getInfo.php?workbook=16_14.xlsx&amp;sheet=A0&amp;row=45&amp;col=10&amp;number=&amp;sourceID=49","")</f>
        <v/>
      </c>
      <c r="K45" s="4" t="str">
        <f>HYPERLINK("http://141.218.60.56/~jnz1568/getInfo.php?workbook=16_14.xlsx&amp;sheet=A0&amp;row=45&amp;col=11&amp;number=&amp;sourceID=49","")</f>
        <v/>
      </c>
    </row>
    <row r="46" spans="1:11">
      <c r="A46" s="3">
        <v>16</v>
      </c>
      <c r="B46" s="3">
        <v>14</v>
      </c>
      <c r="C46" s="3">
        <v>17</v>
      </c>
      <c r="D46" s="3">
        <v>1</v>
      </c>
      <c r="E46" s="3">
        <f>((1/(INDEX(E0!J$4:J$47,C46,1)-INDEX(E0!J$4:J$47,D46,1))))*100000000</f>
        <v>0</v>
      </c>
      <c r="F46" s="4" t="str">
        <f>HYPERLINK("http://141.218.60.56/~jnz1568/getInfo.php?workbook=16_14.xlsx&amp;sheet=A0&amp;row=46&amp;col=6&amp;number=1830400&amp;sourceID=48","1830400")</f>
        <v>1830400</v>
      </c>
      <c r="G46" s="4" t="str">
        <f>HYPERLINK("http://141.218.60.56/~jnz1568/getInfo.php?workbook=16_14.xlsx&amp;sheet=A0&amp;row=46&amp;col=7&amp;number=&amp;sourceID=48","")</f>
        <v/>
      </c>
      <c r="H46" s="4" t="str">
        <f>HYPERLINK("http://141.218.60.56/~jnz1568/getInfo.php?workbook=16_14.xlsx&amp;sheet=A0&amp;row=46&amp;col=8&amp;number=&amp;sourceID=48","")</f>
        <v/>
      </c>
      <c r="I46" s="4" t="str">
        <f>HYPERLINK("http://141.218.60.56/~jnz1568/getInfo.php?workbook=16_14.xlsx&amp;sheet=A0&amp;row=46&amp;col=9&amp;number=&amp;sourceID=48","")</f>
        <v/>
      </c>
      <c r="J46" s="4" t="str">
        <f>HYPERLINK("http://141.218.60.56/~jnz1568/getInfo.php?workbook=16_14.xlsx&amp;sheet=A0&amp;row=46&amp;col=10&amp;number=&amp;sourceID=49","")</f>
        <v/>
      </c>
      <c r="K46" s="4" t="str">
        <f>HYPERLINK("http://141.218.60.56/~jnz1568/getInfo.php?workbook=16_14.xlsx&amp;sheet=A0&amp;row=46&amp;col=11&amp;number=&amp;sourceID=49","")</f>
        <v/>
      </c>
    </row>
    <row r="47" spans="1:11">
      <c r="A47" s="3">
        <v>16</v>
      </c>
      <c r="B47" s="3">
        <v>14</v>
      </c>
      <c r="C47" s="3">
        <v>17</v>
      </c>
      <c r="D47" s="3">
        <v>2</v>
      </c>
      <c r="E47" s="3">
        <f>((1/(INDEX(E0!J$4:J$47,C47,1)-INDEX(E0!J$4:J$47,D47,1))))*100000000</f>
        <v>0</v>
      </c>
      <c r="F47" s="4" t="str">
        <f>HYPERLINK("http://141.218.60.56/~jnz1568/getInfo.php?workbook=16_14.xlsx&amp;sheet=A0&amp;row=47&amp;col=6&amp;number=665050&amp;sourceID=48","665050")</f>
        <v>665050</v>
      </c>
      <c r="G47" s="4" t="str">
        <f>HYPERLINK("http://141.218.60.56/~jnz1568/getInfo.php?workbook=16_14.xlsx&amp;sheet=A0&amp;row=47&amp;col=7&amp;number=&amp;sourceID=48","")</f>
        <v/>
      </c>
      <c r="H47" s="4" t="str">
        <f>HYPERLINK("http://141.218.60.56/~jnz1568/getInfo.php?workbook=16_14.xlsx&amp;sheet=A0&amp;row=47&amp;col=8&amp;number=&amp;sourceID=48","")</f>
        <v/>
      </c>
      <c r="I47" s="4" t="str">
        <f>HYPERLINK("http://141.218.60.56/~jnz1568/getInfo.php?workbook=16_14.xlsx&amp;sheet=A0&amp;row=47&amp;col=9&amp;number=&amp;sourceID=48","")</f>
        <v/>
      </c>
      <c r="J47" s="4" t="str">
        <f>HYPERLINK("http://141.218.60.56/~jnz1568/getInfo.php?workbook=16_14.xlsx&amp;sheet=A0&amp;row=47&amp;col=10&amp;number=&amp;sourceID=49","")</f>
        <v/>
      </c>
      <c r="K47" s="4" t="str">
        <f>HYPERLINK("http://141.218.60.56/~jnz1568/getInfo.php?workbook=16_14.xlsx&amp;sheet=A0&amp;row=47&amp;col=11&amp;number=&amp;sourceID=49","")</f>
        <v/>
      </c>
    </row>
    <row r="48" spans="1:11">
      <c r="A48" s="3">
        <v>16</v>
      </c>
      <c r="B48" s="3">
        <v>14</v>
      </c>
      <c r="C48" s="3">
        <v>17</v>
      </c>
      <c r="D48" s="3">
        <v>3</v>
      </c>
      <c r="E48" s="3">
        <f>((1/(INDEX(E0!J$4:J$47,C48,1)-INDEX(E0!J$4:J$47,D48,1))))*100000000</f>
        <v>0</v>
      </c>
      <c r="F48" s="4" t="str">
        <f>HYPERLINK("http://141.218.60.56/~jnz1568/getInfo.php?workbook=16_14.xlsx&amp;sheet=A0&amp;row=48&amp;col=6&amp;number=16627000&amp;sourceID=48","16627000")</f>
        <v>16627000</v>
      </c>
      <c r="G48" s="4" t="str">
        <f>HYPERLINK("http://141.218.60.56/~jnz1568/getInfo.php?workbook=16_14.xlsx&amp;sheet=A0&amp;row=48&amp;col=7&amp;number=&amp;sourceID=48","")</f>
        <v/>
      </c>
      <c r="H48" s="4" t="str">
        <f>HYPERLINK("http://141.218.60.56/~jnz1568/getInfo.php?workbook=16_14.xlsx&amp;sheet=A0&amp;row=48&amp;col=8&amp;number=&amp;sourceID=48","")</f>
        <v/>
      </c>
      <c r="I48" s="4" t="str">
        <f>HYPERLINK("http://141.218.60.56/~jnz1568/getInfo.php?workbook=16_14.xlsx&amp;sheet=A0&amp;row=48&amp;col=9&amp;number=&amp;sourceID=48","")</f>
        <v/>
      </c>
      <c r="J48" s="4" t="str">
        <f>HYPERLINK("http://141.218.60.56/~jnz1568/getInfo.php?workbook=16_14.xlsx&amp;sheet=A0&amp;row=48&amp;col=10&amp;number=&amp;sourceID=49","")</f>
        <v/>
      </c>
      <c r="K48" s="4" t="str">
        <f>HYPERLINK("http://141.218.60.56/~jnz1568/getInfo.php?workbook=16_14.xlsx&amp;sheet=A0&amp;row=48&amp;col=11&amp;number=&amp;sourceID=49","")</f>
        <v/>
      </c>
    </row>
    <row r="49" spans="1:11">
      <c r="A49" s="3">
        <v>16</v>
      </c>
      <c r="B49" s="3">
        <v>14</v>
      </c>
      <c r="C49" s="3">
        <v>17</v>
      </c>
      <c r="D49" s="3">
        <v>4</v>
      </c>
      <c r="E49" s="3">
        <f>((1/(INDEX(E0!J$4:J$47,C49,1)-INDEX(E0!J$4:J$47,D49,1))))*100000000</f>
        <v>0</v>
      </c>
      <c r="F49" s="4" t="str">
        <f>HYPERLINK("http://141.218.60.56/~jnz1568/getInfo.php?workbook=16_14.xlsx&amp;sheet=A0&amp;row=49&amp;col=6&amp;number=6073700000&amp;sourceID=48","6073700000")</f>
        <v>6073700000</v>
      </c>
      <c r="G49" s="4" t="str">
        <f>HYPERLINK("http://141.218.60.56/~jnz1568/getInfo.php?workbook=16_14.xlsx&amp;sheet=A0&amp;row=49&amp;col=7&amp;number=&amp;sourceID=48","")</f>
        <v/>
      </c>
      <c r="H49" s="4" t="str">
        <f>HYPERLINK("http://141.218.60.56/~jnz1568/getInfo.php?workbook=16_14.xlsx&amp;sheet=A0&amp;row=49&amp;col=8&amp;number=&amp;sourceID=48","")</f>
        <v/>
      </c>
      <c r="I49" s="4" t="str">
        <f>HYPERLINK("http://141.218.60.56/~jnz1568/getInfo.php?workbook=16_14.xlsx&amp;sheet=A0&amp;row=49&amp;col=9&amp;number=&amp;sourceID=48","")</f>
        <v/>
      </c>
      <c r="J49" s="4" t="str">
        <f>HYPERLINK("http://141.218.60.56/~jnz1568/getInfo.php?workbook=16_14.xlsx&amp;sheet=A0&amp;row=49&amp;col=10&amp;number=&amp;sourceID=49","")</f>
        <v/>
      </c>
      <c r="K49" s="4" t="str">
        <f>HYPERLINK("http://141.218.60.56/~jnz1568/getInfo.php?workbook=16_14.xlsx&amp;sheet=A0&amp;row=49&amp;col=11&amp;number=&amp;sourceID=49","")</f>
        <v/>
      </c>
    </row>
    <row r="50" spans="1:11">
      <c r="A50" s="3">
        <v>16</v>
      </c>
      <c r="B50" s="3">
        <v>14</v>
      </c>
      <c r="C50" s="3">
        <v>17</v>
      </c>
      <c r="D50" s="3">
        <v>4</v>
      </c>
      <c r="E50" s="3">
        <f>((1/(INDEX(E0!J$4:J$47,C50,1)-INDEX(E0!J$4:J$47,D50,1))))*100000000</f>
        <v>0</v>
      </c>
      <c r="F50" s="4" t="str">
        <f>HYPERLINK("http://141.218.60.56/~jnz1568/getInfo.php?workbook=16_14.xlsx&amp;sheet=A0&amp;row=50&amp;col=6&amp;number=6073600000&amp;sourceID=48","6073600000")</f>
        <v>6073600000</v>
      </c>
      <c r="G50" s="4" t="str">
        <f>HYPERLINK("http://141.218.60.56/~jnz1568/getInfo.php?workbook=16_14.xlsx&amp;sheet=A0&amp;row=50&amp;col=7&amp;number=&amp;sourceID=48","")</f>
        <v/>
      </c>
      <c r="H50" s="4" t="str">
        <f>HYPERLINK("http://141.218.60.56/~jnz1568/getInfo.php?workbook=16_14.xlsx&amp;sheet=A0&amp;row=50&amp;col=8&amp;number=&amp;sourceID=48","")</f>
        <v/>
      </c>
      <c r="I50" s="4" t="str">
        <f>HYPERLINK("http://141.218.60.56/~jnz1568/getInfo.php?workbook=16_14.xlsx&amp;sheet=A0&amp;row=50&amp;col=9&amp;number=&amp;sourceID=48","")</f>
        <v/>
      </c>
      <c r="J50" s="4" t="str">
        <f>HYPERLINK("http://141.218.60.56/~jnz1568/getInfo.php?workbook=16_14.xlsx&amp;sheet=A0&amp;row=50&amp;col=10&amp;number=&amp;sourceID=49","")</f>
        <v/>
      </c>
      <c r="K50" s="4" t="str">
        <f>HYPERLINK("http://141.218.60.56/~jnz1568/getInfo.php?workbook=16_14.xlsx&amp;sheet=A0&amp;row=50&amp;col=11&amp;number=&amp;sourceID=49","")</f>
        <v/>
      </c>
    </row>
    <row r="51" spans="1:11">
      <c r="A51" s="3">
        <v>16</v>
      </c>
      <c r="B51" s="3">
        <v>14</v>
      </c>
      <c r="C51" s="3">
        <v>17</v>
      </c>
      <c r="D51" s="3">
        <v>5</v>
      </c>
      <c r="E51" s="3">
        <f>((1/(INDEX(E0!J$4:J$47,C51,1)-INDEX(E0!J$4:J$47,D51,1))))*100000000</f>
        <v>0</v>
      </c>
      <c r="F51" s="4" t="str">
        <f>HYPERLINK("http://141.218.60.56/~jnz1568/getInfo.php?workbook=16_14.xlsx&amp;sheet=A0&amp;row=51&amp;col=6&amp;number=1751100&amp;sourceID=48","1751100")</f>
        <v>1751100</v>
      </c>
      <c r="G51" s="4" t="str">
        <f>HYPERLINK("http://141.218.60.56/~jnz1568/getInfo.php?workbook=16_14.xlsx&amp;sheet=A0&amp;row=51&amp;col=7&amp;number=&amp;sourceID=48","")</f>
        <v/>
      </c>
      <c r="H51" s="4" t="str">
        <f>HYPERLINK("http://141.218.60.56/~jnz1568/getInfo.php?workbook=16_14.xlsx&amp;sheet=A0&amp;row=51&amp;col=8&amp;number=&amp;sourceID=48","")</f>
        <v/>
      </c>
      <c r="I51" s="4" t="str">
        <f>HYPERLINK("http://141.218.60.56/~jnz1568/getInfo.php?workbook=16_14.xlsx&amp;sheet=A0&amp;row=51&amp;col=9&amp;number=&amp;sourceID=48","")</f>
        <v/>
      </c>
      <c r="J51" s="4" t="str">
        <f>HYPERLINK("http://141.218.60.56/~jnz1568/getInfo.php?workbook=16_14.xlsx&amp;sheet=A0&amp;row=51&amp;col=10&amp;number=&amp;sourceID=49","")</f>
        <v/>
      </c>
      <c r="K51" s="4" t="str">
        <f>HYPERLINK("http://141.218.60.56/~jnz1568/getInfo.php?workbook=16_14.xlsx&amp;sheet=A0&amp;row=51&amp;col=11&amp;number=&amp;sourceID=49","")</f>
        <v/>
      </c>
    </row>
    <row r="52" spans="1:11">
      <c r="A52" s="3">
        <v>16</v>
      </c>
      <c r="B52" s="3">
        <v>14</v>
      </c>
      <c r="C52" s="3">
        <v>17</v>
      </c>
      <c r="D52" s="3">
        <v>5</v>
      </c>
      <c r="E52" s="3">
        <f>((1/(INDEX(E0!J$4:J$47,C52,1)-INDEX(E0!J$4:J$47,D52,1))))*100000000</f>
        <v>0</v>
      </c>
      <c r="F52" s="4" t="str">
        <f>HYPERLINK("http://141.218.60.56/~jnz1568/getInfo.php?workbook=16_14.xlsx&amp;sheet=A0&amp;row=52&amp;col=6&amp;number=1751100&amp;sourceID=48","1751100")</f>
        <v>1751100</v>
      </c>
      <c r="G52" s="4" t="str">
        <f>HYPERLINK("http://141.218.60.56/~jnz1568/getInfo.php?workbook=16_14.xlsx&amp;sheet=A0&amp;row=52&amp;col=7&amp;number=&amp;sourceID=48","")</f>
        <v/>
      </c>
      <c r="H52" s="4" t="str">
        <f>HYPERLINK("http://141.218.60.56/~jnz1568/getInfo.php?workbook=16_14.xlsx&amp;sheet=A0&amp;row=52&amp;col=8&amp;number=&amp;sourceID=48","")</f>
        <v/>
      </c>
      <c r="I52" s="4" t="str">
        <f>HYPERLINK("http://141.218.60.56/~jnz1568/getInfo.php?workbook=16_14.xlsx&amp;sheet=A0&amp;row=52&amp;col=9&amp;number=&amp;sourceID=48","")</f>
        <v/>
      </c>
      <c r="J52" s="4" t="str">
        <f>HYPERLINK("http://141.218.60.56/~jnz1568/getInfo.php?workbook=16_14.xlsx&amp;sheet=A0&amp;row=52&amp;col=10&amp;number=&amp;sourceID=49","")</f>
        <v/>
      </c>
      <c r="K52" s="4" t="str">
        <f>HYPERLINK("http://141.218.60.56/~jnz1568/getInfo.php?workbook=16_14.xlsx&amp;sheet=A0&amp;row=52&amp;col=11&amp;number=&amp;sourceID=49","")</f>
        <v/>
      </c>
    </row>
    <row r="53" spans="1:11">
      <c r="A53" s="3">
        <v>16</v>
      </c>
      <c r="B53" s="3">
        <v>14</v>
      </c>
      <c r="C53" s="3">
        <v>18</v>
      </c>
      <c r="D53" s="3">
        <v>1</v>
      </c>
      <c r="E53" s="3">
        <f>((1/(INDEX(E0!J$4:J$47,C53,1)-INDEX(E0!J$4:J$47,D53,1))))*100000000</f>
        <v>0</v>
      </c>
      <c r="F53" s="4" t="str">
        <f>HYPERLINK("http://141.218.60.56/~jnz1568/getInfo.php?workbook=16_14.xlsx&amp;sheet=A0&amp;row=53&amp;col=6&amp;number=1657900000&amp;sourceID=48","1657900000")</f>
        <v>1657900000</v>
      </c>
      <c r="G53" s="4" t="str">
        <f>HYPERLINK("http://141.218.60.56/~jnz1568/getInfo.php?workbook=16_14.xlsx&amp;sheet=A0&amp;row=53&amp;col=7&amp;number=&amp;sourceID=48","")</f>
        <v/>
      </c>
      <c r="H53" s="4" t="str">
        <f>HYPERLINK("http://141.218.60.56/~jnz1568/getInfo.php?workbook=16_14.xlsx&amp;sheet=A0&amp;row=53&amp;col=8&amp;number=&amp;sourceID=48","")</f>
        <v/>
      </c>
      <c r="I53" s="4" t="str">
        <f>HYPERLINK("http://141.218.60.56/~jnz1568/getInfo.php?workbook=16_14.xlsx&amp;sheet=A0&amp;row=53&amp;col=9&amp;number=&amp;sourceID=48","")</f>
        <v/>
      </c>
      <c r="J53" s="4" t="str">
        <f>HYPERLINK("http://141.218.60.56/~jnz1568/getInfo.php?workbook=16_14.xlsx&amp;sheet=A0&amp;row=53&amp;col=10&amp;number=&amp;sourceID=49","")</f>
        <v/>
      </c>
      <c r="K53" s="4" t="str">
        <f>HYPERLINK("http://141.218.60.56/~jnz1568/getInfo.php?workbook=16_14.xlsx&amp;sheet=A0&amp;row=53&amp;col=11&amp;number=&amp;sourceID=49","")</f>
        <v/>
      </c>
    </row>
    <row r="54" spans="1:11">
      <c r="A54" s="3">
        <v>16</v>
      </c>
      <c r="B54" s="3">
        <v>14</v>
      </c>
      <c r="C54" s="3">
        <v>18</v>
      </c>
      <c r="D54" s="3">
        <v>2</v>
      </c>
      <c r="E54" s="3">
        <f>((1/(INDEX(E0!J$4:J$47,C54,1)-INDEX(E0!J$4:J$47,D54,1))))*100000000</f>
        <v>0</v>
      </c>
      <c r="F54" s="4" t="str">
        <f>HYPERLINK("http://141.218.60.56/~jnz1568/getInfo.php?workbook=16_14.xlsx&amp;sheet=A0&amp;row=54&amp;col=6&amp;number=4665000000&amp;sourceID=48","4665000000")</f>
        <v>4665000000</v>
      </c>
      <c r="G54" s="4" t="str">
        <f>HYPERLINK("http://141.218.60.56/~jnz1568/getInfo.php?workbook=16_14.xlsx&amp;sheet=A0&amp;row=54&amp;col=7&amp;number=&amp;sourceID=48","")</f>
        <v/>
      </c>
      <c r="H54" s="4" t="str">
        <f>HYPERLINK("http://141.218.60.56/~jnz1568/getInfo.php?workbook=16_14.xlsx&amp;sheet=A0&amp;row=54&amp;col=8&amp;number=&amp;sourceID=48","")</f>
        <v/>
      </c>
      <c r="I54" s="4" t="str">
        <f>HYPERLINK("http://141.218.60.56/~jnz1568/getInfo.php?workbook=16_14.xlsx&amp;sheet=A0&amp;row=54&amp;col=9&amp;number=0.046494&amp;sourceID=48","0.046494")</f>
        <v>0.046494</v>
      </c>
      <c r="J54" s="4" t="str">
        <f>HYPERLINK("http://141.218.60.56/~jnz1568/getInfo.php?workbook=16_14.xlsx&amp;sheet=A0&amp;row=54&amp;col=10&amp;number=&amp;sourceID=49","")</f>
        <v/>
      </c>
      <c r="K54" s="4" t="str">
        <f>HYPERLINK("http://141.218.60.56/~jnz1568/getInfo.php?workbook=16_14.xlsx&amp;sheet=A0&amp;row=54&amp;col=11&amp;number=&amp;sourceID=49","")</f>
        <v/>
      </c>
    </row>
    <row r="55" spans="1:11">
      <c r="A55" s="3">
        <v>16</v>
      </c>
      <c r="B55" s="3">
        <v>14</v>
      </c>
      <c r="C55" s="3">
        <v>18</v>
      </c>
      <c r="D55" s="3">
        <v>3</v>
      </c>
      <c r="E55" s="3">
        <f>((1/(INDEX(E0!J$4:J$47,C55,1)-INDEX(E0!J$4:J$47,D55,1))))*100000000</f>
        <v>0</v>
      </c>
      <c r="F55" s="4" t="str">
        <f>HYPERLINK("http://141.218.60.56/~jnz1568/getInfo.php?workbook=16_14.xlsx&amp;sheet=A0&amp;row=55&amp;col=6&amp;number=6891600000&amp;sourceID=48","6891600000")</f>
        <v>6891600000</v>
      </c>
      <c r="G55" s="4" t="str">
        <f>HYPERLINK("http://141.218.60.56/~jnz1568/getInfo.php?workbook=16_14.xlsx&amp;sheet=A0&amp;row=55&amp;col=7&amp;number=&amp;sourceID=48","")</f>
        <v/>
      </c>
      <c r="H55" s="4" t="str">
        <f>HYPERLINK("http://141.218.60.56/~jnz1568/getInfo.php?workbook=16_14.xlsx&amp;sheet=A0&amp;row=55&amp;col=8&amp;number=&amp;sourceID=48","")</f>
        <v/>
      </c>
      <c r="I55" s="4" t="str">
        <f>HYPERLINK("http://141.218.60.56/~jnz1568/getInfo.php?workbook=16_14.xlsx&amp;sheet=A0&amp;row=55&amp;col=9&amp;number=0.37816&amp;sourceID=48","0.37816")</f>
        <v>0.37816</v>
      </c>
      <c r="J55" s="4" t="str">
        <f>HYPERLINK("http://141.218.60.56/~jnz1568/getInfo.php?workbook=16_14.xlsx&amp;sheet=A0&amp;row=55&amp;col=10&amp;number=&amp;sourceID=49","")</f>
        <v/>
      </c>
      <c r="K55" s="4" t="str">
        <f>HYPERLINK("http://141.218.60.56/~jnz1568/getInfo.php?workbook=16_14.xlsx&amp;sheet=A0&amp;row=55&amp;col=11&amp;number=&amp;sourceID=49","")</f>
        <v/>
      </c>
    </row>
    <row r="56" spans="1:11">
      <c r="A56" s="3">
        <v>16</v>
      </c>
      <c r="B56" s="3">
        <v>14</v>
      </c>
      <c r="C56" s="3">
        <v>18</v>
      </c>
      <c r="D56" s="3">
        <v>4</v>
      </c>
      <c r="E56" s="3">
        <f>((1/(INDEX(E0!J$4:J$47,C56,1)-INDEX(E0!J$4:J$47,D56,1))))*100000000</f>
        <v>0</v>
      </c>
      <c r="F56" s="4" t="str">
        <f>HYPERLINK("http://141.218.60.56/~jnz1568/getInfo.php?workbook=16_14.xlsx&amp;sheet=A0&amp;row=56&amp;col=6&amp;number=264140000&amp;sourceID=48","264140000")</f>
        <v>264140000</v>
      </c>
      <c r="G56" s="4" t="str">
        <f>HYPERLINK("http://141.218.60.56/~jnz1568/getInfo.php?workbook=16_14.xlsx&amp;sheet=A0&amp;row=56&amp;col=7&amp;number=&amp;sourceID=48","")</f>
        <v/>
      </c>
      <c r="H56" s="4" t="str">
        <f>HYPERLINK("http://141.218.60.56/~jnz1568/getInfo.php?workbook=16_14.xlsx&amp;sheet=A0&amp;row=56&amp;col=8&amp;number=&amp;sourceID=48","")</f>
        <v/>
      </c>
      <c r="I56" s="4" t="str">
        <f>HYPERLINK("http://141.218.60.56/~jnz1568/getInfo.php?workbook=16_14.xlsx&amp;sheet=A0&amp;row=56&amp;col=9&amp;number=0.0024769&amp;sourceID=48","0.0024769")</f>
        <v>0.0024769</v>
      </c>
      <c r="J56" s="4" t="str">
        <f>HYPERLINK("http://141.218.60.56/~jnz1568/getInfo.php?workbook=16_14.xlsx&amp;sheet=A0&amp;row=56&amp;col=10&amp;number=&amp;sourceID=49","")</f>
        <v/>
      </c>
      <c r="K56" s="4" t="str">
        <f>HYPERLINK("http://141.218.60.56/~jnz1568/getInfo.php?workbook=16_14.xlsx&amp;sheet=A0&amp;row=56&amp;col=11&amp;number=&amp;sourceID=49","")</f>
        <v/>
      </c>
    </row>
    <row r="57" spans="1:11">
      <c r="A57" s="3">
        <v>16</v>
      </c>
      <c r="B57" s="3">
        <v>14</v>
      </c>
      <c r="C57" s="3">
        <v>18</v>
      </c>
      <c r="D57" s="3">
        <v>5</v>
      </c>
      <c r="E57" s="3">
        <f>((1/(INDEX(E0!J$4:J$47,C57,1)-INDEX(E0!J$4:J$47,D57,1))))*100000000</f>
        <v>0</v>
      </c>
      <c r="F57" s="4" t="str">
        <f>HYPERLINK("http://141.218.60.56/~jnz1568/getInfo.php?workbook=16_14.xlsx&amp;sheet=A0&amp;row=57&amp;col=6&amp;number=147690&amp;sourceID=48","147690")</f>
        <v>147690</v>
      </c>
      <c r="G57" s="4" t="str">
        <f>HYPERLINK("http://141.218.60.56/~jnz1568/getInfo.php?workbook=16_14.xlsx&amp;sheet=A0&amp;row=57&amp;col=7&amp;number=&amp;sourceID=48","")</f>
        <v/>
      </c>
      <c r="H57" s="4" t="str">
        <f>HYPERLINK("http://141.218.60.56/~jnz1568/getInfo.php?workbook=16_14.xlsx&amp;sheet=A0&amp;row=57&amp;col=8&amp;number=&amp;sourceID=48","")</f>
        <v/>
      </c>
      <c r="I57" s="4" t="str">
        <f>HYPERLINK("http://141.218.60.56/~jnz1568/getInfo.php?workbook=16_14.xlsx&amp;sheet=A0&amp;row=57&amp;col=9&amp;number=&amp;sourceID=48","")</f>
        <v/>
      </c>
      <c r="J57" s="4" t="str">
        <f>HYPERLINK("http://141.218.60.56/~jnz1568/getInfo.php?workbook=16_14.xlsx&amp;sheet=A0&amp;row=57&amp;col=10&amp;number=&amp;sourceID=49","")</f>
        <v/>
      </c>
      <c r="K57" s="4" t="str">
        <f>HYPERLINK("http://141.218.60.56/~jnz1568/getInfo.php?workbook=16_14.xlsx&amp;sheet=A0&amp;row=57&amp;col=11&amp;number=&amp;sourceID=49","")</f>
        <v/>
      </c>
    </row>
    <row r="58" spans="1:11">
      <c r="A58" s="3">
        <v>16</v>
      </c>
      <c r="B58" s="3">
        <v>14</v>
      </c>
      <c r="C58" s="3">
        <v>18</v>
      </c>
      <c r="D58" s="3">
        <v>6</v>
      </c>
      <c r="E58" s="3">
        <f>((1/(INDEX(E0!J$4:J$47,C58,1)-INDEX(E0!J$4:J$47,D58,1))))*100000000</f>
        <v>0</v>
      </c>
      <c r="F58" s="4" t="str">
        <f>HYPERLINK("http://141.218.60.56/~jnz1568/getInfo.php?workbook=16_14.xlsx&amp;sheet=A0&amp;row=58&amp;col=6&amp;number=&amp;sourceID=48","")</f>
        <v/>
      </c>
      <c r="G58" s="4" t="str">
        <f>HYPERLINK("http://141.218.60.56/~jnz1568/getInfo.php?workbook=16_14.xlsx&amp;sheet=A0&amp;row=58&amp;col=7&amp;number=3.5616e-07&amp;sourceID=48","3.5616e-07")</f>
        <v>3.5616e-07</v>
      </c>
      <c r="H58" s="4" t="str">
        <f>HYPERLINK("http://141.218.60.56/~jnz1568/getInfo.php?workbook=16_14.xlsx&amp;sheet=A0&amp;row=58&amp;col=8&amp;number=1.0629e-08&amp;sourceID=48","1.0629e-08")</f>
        <v>1.0629e-08</v>
      </c>
      <c r="I58" s="4" t="str">
        <f>HYPERLINK("http://141.218.60.56/~jnz1568/getInfo.php?workbook=16_14.xlsx&amp;sheet=A0&amp;row=58&amp;col=9&amp;number=&amp;sourceID=48","")</f>
        <v/>
      </c>
      <c r="J58" s="4" t="str">
        <f>HYPERLINK("http://141.218.60.56/~jnz1568/getInfo.php?workbook=16_14.xlsx&amp;sheet=A0&amp;row=58&amp;col=10&amp;number=&amp;sourceID=49","")</f>
        <v/>
      </c>
      <c r="K58" s="4" t="str">
        <f>HYPERLINK("http://141.218.60.56/~jnz1568/getInfo.php?workbook=16_14.xlsx&amp;sheet=A0&amp;row=58&amp;col=11&amp;number=&amp;sourceID=49","")</f>
        <v/>
      </c>
    </row>
    <row r="59" spans="1:11">
      <c r="A59" s="3">
        <v>16</v>
      </c>
      <c r="B59" s="3">
        <v>14</v>
      </c>
      <c r="C59" s="3">
        <v>19</v>
      </c>
      <c r="D59" s="3">
        <v>2</v>
      </c>
      <c r="E59" s="3">
        <f>((1/(INDEX(E0!J$4:J$47,C59,1)-INDEX(E0!J$4:J$47,D59,1))))*100000000</f>
        <v>0</v>
      </c>
      <c r="F59" s="4" t="str">
        <f>HYPERLINK("http://141.218.60.56/~jnz1568/getInfo.php?workbook=16_14.xlsx&amp;sheet=A0&amp;row=59&amp;col=6&amp;number=10209000000&amp;sourceID=48","10209000000")</f>
        <v>10209000000</v>
      </c>
      <c r="G59" s="4" t="str">
        <f>HYPERLINK("http://141.218.60.56/~jnz1568/getInfo.php?workbook=16_14.xlsx&amp;sheet=A0&amp;row=59&amp;col=7&amp;number=&amp;sourceID=48","")</f>
        <v/>
      </c>
      <c r="H59" s="4" t="str">
        <f>HYPERLINK("http://141.218.60.56/~jnz1568/getInfo.php?workbook=16_14.xlsx&amp;sheet=A0&amp;row=59&amp;col=8&amp;number=&amp;sourceID=48","")</f>
        <v/>
      </c>
      <c r="I59" s="4" t="str">
        <f>HYPERLINK("http://141.218.60.56/~jnz1568/getInfo.php?workbook=16_14.xlsx&amp;sheet=A0&amp;row=59&amp;col=9&amp;number=&amp;sourceID=48","")</f>
        <v/>
      </c>
      <c r="J59" s="4" t="str">
        <f>HYPERLINK("http://141.218.60.56/~jnz1568/getInfo.php?workbook=16_14.xlsx&amp;sheet=A0&amp;row=59&amp;col=10&amp;number=&amp;sourceID=49","")</f>
        <v/>
      </c>
      <c r="K59" s="4" t="str">
        <f>HYPERLINK("http://141.218.60.56/~jnz1568/getInfo.php?workbook=16_14.xlsx&amp;sheet=A0&amp;row=59&amp;col=11&amp;number=&amp;sourceID=49","")</f>
        <v/>
      </c>
    </row>
    <row r="60" spans="1:11">
      <c r="A60" s="3">
        <v>16</v>
      </c>
      <c r="B60" s="3">
        <v>14</v>
      </c>
      <c r="C60" s="3">
        <v>20</v>
      </c>
      <c r="D60" s="3">
        <v>1</v>
      </c>
      <c r="E60" s="3">
        <f>((1/(INDEX(E0!J$4:J$47,C60,1)-INDEX(E0!J$4:J$47,D60,1))))*100000000</f>
        <v>0</v>
      </c>
      <c r="F60" s="4" t="str">
        <f>HYPERLINK("http://141.218.60.56/~jnz1568/getInfo.php?workbook=16_14.xlsx&amp;sheet=A0&amp;row=60&amp;col=6&amp;number=3851100000&amp;sourceID=48","3851100000")</f>
        <v>3851100000</v>
      </c>
      <c r="G60" s="4" t="str">
        <f>HYPERLINK("http://141.218.60.56/~jnz1568/getInfo.php?workbook=16_14.xlsx&amp;sheet=A0&amp;row=60&amp;col=7&amp;number=&amp;sourceID=48","")</f>
        <v/>
      </c>
      <c r="H60" s="4" t="str">
        <f>HYPERLINK("http://141.218.60.56/~jnz1568/getInfo.php?workbook=16_14.xlsx&amp;sheet=A0&amp;row=60&amp;col=8&amp;number=&amp;sourceID=48","")</f>
        <v/>
      </c>
      <c r="I60" s="4" t="str">
        <f>HYPERLINK("http://141.218.60.56/~jnz1568/getInfo.php?workbook=16_14.xlsx&amp;sheet=A0&amp;row=60&amp;col=9&amp;number=&amp;sourceID=48","")</f>
        <v/>
      </c>
      <c r="J60" s="4" t="str">
        <f>HYPERLINK("http://141.218.60.56/~jnz1568/getInfo.php?workbook=16_14.xlsx&amp;sheet=A0&amp;row=60&amp;col=10&amp;number=&amp;sourceID=49","")</f>
        <v/>
      </c>
      <c r="K60" s="4" t="str">
        <f>HYPERLINK("http://141.218.60.56/~jnz1568/getInfo.php?workbook=16_14.xlsx&amp;sheet=A0&amp;row=60&amp;col=11&amp;number=&amp;sourceID=49","")</f>
        <v/>
      </c>
    </row>
    <row r="61" spans="1:11">
      <c r="A61" s="3">
        <v>16</v>
      </c>
      <c r="B61" s="3">
        <v>14</v>
      </c>
      <c r="C61" s="3">
        <v>20</v>
      </c>
      <c r="D61" s="3">
        <v>2</v>
      </c>
      <c r="E61" s="3">
        <f>((1/(INDEX(E0!J$4:J$47,C61,1)-INDEX(E0!J$4:J$47,D61,1))))*100000000</f>
        <v>0</v>
      </c>
      <c r="F61" s="4" t="str">
        <f>HYPERLINK("http://141.218.60.56/~jnz1568/getInfo.php?workbook=16_14.xlsx&amp;sheet=A0&amp;row=61&amp;col=6&amp;number=2374000000&amp;sourceID=48","2374000000")</f>
        <v>2374000000</v>
      </c>
      <c r="G61" s="4" t="str">
        <f>HYPERLINK("http://141.218.60.56/~jnz1568/getInfo.php?workbook=16_14.xlsx&amp;sheet=A0&amp;row=61&amp;col=7&amp;number=&amp;sourceID=48","")</f>
        <v/>
      </c>
      <c r="H61" s="4" t="str">
        <f>HYPERLINK("http://141.218.60.56/~jnz1568/getInfo.php?workbook=16_14.xlsx&amp;sheet=A0&amp;row=61&amp;col=8&amp;number=&amp;sourceID=48","")</f>
        <v/>
      </c>
      <c r="I61" s="4" t="str">
        <f>HYPERLINK("http://141.218.60.56/~jnz1568/getInfo.php?workbook=16_14.xlsx&amp;sheet=A0&amp;row=61&amp;col=9&amp;number=&amp;sourceID=48","")</f>
        <v/>
      </c>
      <c r="J61" s="4" t="str">
        <f>HYPERLINK("http://141.218.60.56/~jnz1568/getInfo.php?workbook=16_14.xlsx&amp;sheet=A0&amp;row=61&amp;col=10&amp;number=&amp;sourceID=49","")</f>
        <v/>
      </c>
      <c r="K61" s="4" t="str">
        <f>HYPERLINK("http://141.218.60.56/~jnz1568/getInfo.php?workbook=16_14.xlsx&amp;sheet=A0&amp;row=61&amp;col=11&amp;number=&amp;sourceID=49","")</f>
        <v/>
      </c>
    </row>
    <row r="62" spans="1:11">
      <c r="A62" s="3">
        <v>16</v>
      </c>
      <c r="B62" s="3">
        <v>14</v>
      </c>
      <c r="C62" s="3">
        <v>20</v>
      </c>
      <c r="D62" s="3">
        <v>3</v>
      </c>
      <c r="E62" s="3">
        <f>((1/(INDEX(E0!J$4:J$47,C62,1)-INDEX(E0!J$4:J$47,D62,1))))*100000000</f>
        <v>0</v>
      </c>
      <c r="F62" s="4" t="str">
        <f>HYPERLINK("http://141.218.60.56/~jnz1568/getInfo.php?workbook=16_14.xlsx&amp;sheet=A0&amp;row=62&amp;col=6&amp;number=4247100000&amp;sourceID=48","4247100000")</f>
        <v>4247100000</v>
      </c>
      <c r="G62" s="4" t="str">
        <f>HYPERLINK("http://141.218.60.56/~jnz1568/getInfo.php?workbook=16_14.xlsx&amp;sheet=A0&amp;row=62&amp;col=7&amp;number=&amp;sourceID=48","")</f>
        <v/>
      </c>
      <c r="H62" s="4" t="str">
        <f>HYPERLINK("http://141.218.60.56/~jnz1568/getInfo.php?workbook=16_14.xlsx&amp;sheet=A0&amp;row=62&amp;col=8&amp;number=&amp;sourceID=48","")</f>
        <v/>
      </c>
      <c r="I62" s="4" t="str">
        <f>HYPERLINK("http://141.218.60.56/~jnz1568/getInfo.php?workbook=16_14.xlsx&amp;sheet=A0&amp;row=62&amp;col=9&amp;number=&amp;sourceID=48","")</f>
        <v/>
      </c>
      <c r="J62" s="4" t="str">
        <f>HYPERLINK("http://141.218.60.56/~jnz1568/getInfo.php?workbook=16_14.xlsx&amp;sheet=A0&amp;row=62&amp;col=10&amp;number=&amp;sourceID=49","")</f>
        <v/>
      </c>
      <c r="K62" s="4" t="str">
        <f>HYPERLINK("http://141.218.60.56/~jnz1568/getInfo.php?workbook=16_14.xlsx&amp;sheet=A0&amp;row=62&amp;col=11&amp;number=&amp;sourceID=49","")</f>
        <v/>
      </c>
    </row>
    <row r="63" spans="1:11">
      <c r="A63" s="3">
        <v>16</v>
      </c>
      <c r="B63" s="3">
        <v>14</v>
      </c>
      <c r="C63" s="3">
        <v>20</v>
      </c>
      <c r="D63" s="3">
        <v>4</v>
      </c>
      <c r="E63" s="3">
        <f>((1/(INDEX(E0!J$4:J$47,C63,1)-INDEX(E0!J$4:J$47,D63,1))))*100000000</f>
        <v>0</v>
      </c>
      <c r="F63" s="4" t="str">
        <f>HYPERLINK("http://141.218.60.56/~jnz1568/getInfo.php?workbook=16_14.xlsx&amp;sheet=A0&amp;row=63&amp;col=6&amp;number=1901300&amp;sourceID=48","1901300")</f>
        <v>1901300</v>
      </c>
      <c r="G63" s="4" t="str">
        <f>HYPERLINK("http://141.218.60.56/~jnz1568/getInfo.php?workbook=16_14.xlsx&amp;sheet=A0&amp;row=63&amp;col=7&amp;number=&amp;sourceID=48","")</f>
        <v/>
      </c>
      <c r="H63" s="4" t="str">
        <f>HYPERLINK("http://141.218.60.56/~jnz1568/getInfo.php?workbook=16_14.xlsx&amp;sheet=A0&amp;row=63&amp;col=8&amp;number=&amp;sourceID=48","")</f>
        <v/>
      </c>
      <c r="I63" s="4" t="str">
        <f>HYPERLINK("http://141.218.60.56/~jnz1568/getInfo.php?workbook=16_14.xlsx&amp;sheet=A0&amp;row=63&amp;col=9&amp;number=&amp;sourceID=48","")</f>
        <v/>
      </c>
      <c r="J63" s="4" t="str">
        <f>HYPERLINK("http://141.218.60.56/~jnz1568/getInfo.php?workbook=16_14.xlsx&amp;sheet=A0&amp;row=63&amp;col=10&amp;number=&amp;sourceID=49","")</f>
        <v/>
      </c>
      <c r="K63" s="4" t="str">
        <f>HYPERLINK("http://141.218.60.56/~jnz1568/getInfo.php?workbook=16_14.xlsx&amp;sheet=A0&amp;row=63&amp;col=11&amp;number=&amp;sourceID=49","")</f>
        <v/>
      </c>
    </row>
    <row r="64" spans="1:11">
      <c r="A64" s="3">
        <v>16</v>
      </c>
      <c r="B64" s="3">
        <v>14</v>
      </c>
      <c r="C64" s="3">
        <v>20</v>
      </c>
      <c r="D64" s="3">
        <v>5</v>
      </c>
      <c r="E64" s="3">
        <f>((1/(INDEX(E0!J$4:J$47,C64,1)-INDEX(E0!J$4:J$47,D64,1))))*100000000</f>
        <v>0</v>
      </c>
      <c r="F64" s="4" t="str">
        <f>HYPERLINK("http://141.218.60.56/~jnz1568/getInfo.php?workbook=16_14.xlsx&amp;sheet=A0&amp;row=64&amp;col=6&amp;number=1786.1&amp;sourceID=48","1786.1")</f>
        <v>1786.1</v>
      </c>
      <c r="G64" s="4" t="str">
        <f>HYPERLINK("http://141.218.60.56/~jnz1568/getInfo.php?workbook=16_14.xlsx&amp;sheet=A0&amp;row=64&amp;col=7&amp;number=&amp;sourceID=48","")</f>
        <v/>
      </c>
      <c r="H64" s="4" t="str">
        <f>HYPERLINK("http://141.218.60.56/~jnz1568/getInfo.php?workbook=16_14.xlsx&amp;sheet=A0&amp;row=64&amp;col=8&amp;number=&amp;sourceID=48","")</f>
        <v/>
      </c>
      <c r="I64" s="4" t="str">
        <f>HYPERLINK("http://141.218.60.56/~jnz1568/getInfo.php?workbook=16_14.xlsx&amp;sheet=A0&amp;row=64&amp;col=9&amp;number=&amp;sourceID=48","")</f>
        <v/>
      </c>
      <c r="J64" s="4" t="str">
        <f>HYPERLINK("http://141.218.60.56/~jnz1568/getInfo.php?workbook=16_14.xlsx&amp;sheet=A0&amp;row=64&amp;col=10&amp;number=&amp;sourceID=49","")</f>
        <v/>
      </c>
      <c r="K64" s="4" t="str">
        <f>HYPERLINK("http://141.218.60.56/~jnz1568/getInfo.php?workbook=16_14.xlsx&amp;sheet=A0&amp;row=64&amp;col=11&amp;number=&amp;sourceID=49","")</f>
        <v/>
      </c>
    </row>
    <row r="65" spans="1:11">
      <c r="A65" s="3">
        <v>16</v>
      </c>
      <c r="B65" s="3">
        <v>14</v>
      </c>
      <c r="C65" s="3">
        <v>21</v>
      </c>
      <c r="D65" s="3">
        <v>2</v>
      </c>
      <c r="E65" s="3">
        <f>((1/(INDEX(E0!J$4:J$47,C65,1)-INDEX(E0!J$4:J$47,D65,1))))*100000000</f>
        <v>0</v>
      </c>
      <c r="F65" s="4" t="str">
        <f>HYPERLINK("http://141.218.60.56/~jnz1568/getInfo.php?workbook=16_14.xlsx&amp;sheet=A0&amp;row=65&amp;col=6&amp;number=3279000000&amp;sourceID=48","3279000000")</f>
        <v>3279000000</v>
      </c>
      <c r="G65" s="4" t="str">
        <f>HYPERLINK("http://141.218.60.56/~jnz1568/getInfo.php?workbook=16_14.xlsx&amp;sheet=A0&amp;row=65&amp;col=7&amp;number=&amp;sourceID=48","")</f>
        <v/>
      </c>
      <c r="H65" s="4" t="str">
        <f>HYPERLINK("http://141.218.60.56/~jnz1568/getInfo.php?workbook=16_14.xlsx&amp;sheet=A0&amp;row=65&amp;col=8&amp;number=&amp;sourceID=48","")</f>
        <v/>
      </c>
      <c r="I65" s="4" t="str">
        <f>HYPERLINK("http://141.218.60.56/~jnz1568/getInfo.php?workbook=16_14.xlsx&amp;sheet=A0&amp;row=65&amp;col=9&amp;number=&amp;sourceID=48","")</f>
        <v/>
      </c>
      <c r="J65" s="4" t="str">
        <f>HYPERLINK("http://141.218.60.56/~jnz1568/getInfo.php?workbook=16_14.xlsx&amp;sheet=A0&amp;row=65&amp;col=10&amp;number=&amp;sourceID=49","")</f>
        <v/>
      </c>
      <c r="K65" s="4" t="str">
        <f>HYPERLINK("http://141.218.60.56/~jnz1568/getInfo.php?workbook=16_14.xlsx&amp;sheet=A0&amp;row=65&amp;col=11&amp;number=&amp;sourceID=49","")</f>
        <v/>
      </c>
    </row>
    <row r="66" spans="1:11">
      <c r="A66" s="3">
        <v>16</v>
      </c>
      <c r="B66" s="3">
        <v>14</v>
      </c>
      <c r="C66" s="3">
        <v>21</v>
      </c>
      <c r="D66" s="3">
        <v>3</v>
      </c>
      <c r="E66" s="3">
        <f>((1/(INDEX(E0!J$4:J$47,C66,1)-INDEX(E0!J$4:J$47,D66,1))))*100000000</f>
        <v>0</v>
      </c>
      <c r="F66" s="4" t="str">
        <f>HYPERLINK("http://141.218.60.56/~jnz1568/getInfo.php?workbook=16_14.xlsx&amp;sheet=A0&amp;row=66&amp;col=6&amp;number=7720800000&amp;sourceID=48","7720800000")</f>
        <v>7720800000</v>
      </c>
      <c r="G66" s="4" t="str">
        <f>HYPERLINK("http://141.218.60.56/~jnz1568/getInfo.php?workbook=16_14.xlsx&amp;sheet=A0&amp;row=66&amp;col=7&amp;number=&amp;sourceID=48","")</f>
        <v/>
      </c>
      <c r="H66" s="4" t="str">
        <f>HYPERLINK("http://141.218.60.56/~jnz1568/getInfo.php?workbook=16_14.xlsx&amp;sheet=A0&amp;row=66&amp;col=8&amp;number=&amp;sourceID=48","")</f>
        <v/>
      </c>
      <c r="I66" s="4" t="str">
        <f>HYPERLINK("http://141.218.60.56/~jnz1568/getInfo.php?workbook=16_14.xlsx&amp;sheet=A0&amp;row=66&amp;col=9&amp;number=&amp;sourceID=48","")</f>
        <v/>
      </c>
      <c r="J66" s="4" t="str">
        <f>HYPERLINK("http://141.218.60.56/~jnz1568/getInfo.php?workbook=16_14.xlsx&amp;sheet=A0&amp;row=66&amp;col=10&amp;number=&amp;sourceID=49","")</f>
        <v/>
      </c>
      <c r="K66" s="4" t="str">
        <f>HYPERLINK("http://141.218.60.56/~jnz1568/getInfo.php?workbook=16_14.xlsx&amp;sheet=A0&amp;row=66&amp;col=11&amp;number=&amp;sourceID=49","")</f>
        <v/>
      </c>
    </row>
    <row r="67" spans="1:11">
      <c r="A67" s="3">
        <v>16</v>
      </c>
      <c r="B67" s="3">
        <v>14</v>
      </c>
      <c r="C67" s="3">
        <v>21</v>
      </c>
      <c r="D67" s="3">
        <v>4</v>
      </c>
      <c r="E67" s="3">
        <f>((1/(INDEX(E0!J$4:J$47,C67,1)-INDEX(E0!J$4:J$47,D67,1))))*100000000</f>
        <v>0</v>
      </c>
      <c r="F67" s="4" t="str">
        <f>HYPERLINK("http://141.218.60.56/~jnz1568/getInfo.php?workbook=16_14.xlsx&amp;sheet=A0&amp;row=67&amp;col=6&amp;number=135640&amp;sourceID=48","135640")</f>
        <v>135640</v>
      </c>
      <c r="G67" s="4" t="str">
        <f>HYPERLINK("http://141.218.60.56/~jnz1568/getInfo.php?workbook=16_14.xlsx&amp;sheet=A0&amp;row=67&amp;col=7&amp;number=&amp;sourceID=48","")</f>
        <v/>
      </c>
      <c r="H67" s="4" t="str">
        <f>HYPERLINK("http://141.218.60.56/~jnz1568/getInfo.php?workbook=16_14.xlsx&amp;sheet=A0&amp;row=67&amp;col=8&amp;number=&amp;sourceID=48","")</f>
        <v/>
      </c>
      <c r="I67" s="4" t="str">
        <f>HYPERLINK("http://141.218.60.56/~jnz1568/getInfo.php?workbook=16_14.xlsx&amp;sheet=A0&amp;row=67&amp;col=9&amp;number=&amp;sourceID=48","")</f>
        <v/>
      </c>
      <c r="J67" s="4" t="str">
        <f>HYPERLINK("http://141.218.60.56/~jnz1568/getInfo.php?workbook=16_14.xlsx&amp;sheet=A0&amp;row=67&amp;col=10&amp;number=&amp;sourceID=49","")</f>
        <v/>
      </c>
      <c r="K67" s="4" t="str">
        <f>HYPERLINK("http://141.218.60.56/~jnz1568/getInfo.php?workbook=16_14.xlsx&amp;sheet=A0&amp;row=67&amp;col=11&amp;number=&amp;sourceID=49","")</f>
        <v/>
      </c>
    </row>
    <row r="68" spans="1:11">
      <c r="A68" s="3">
        <v>16</v>
      </c>
      <c r="B68" s="3">
        <v>14</v>
      </c>
      <c r="C68" s="3">
        <v>22</v>
      </c>
      <c r="D68" s="3">
        <v>2</v>
      </c>
      <c r="E68" s="3">
        <f>((1/(INDEX(E0!J$4:J$47,C68,1)-INDEX(E0!J$4:J$47,D68,1))))*100000000</f>
        <v>0</v>
      </c>
      <c r="F68" s="4" t="str">
        <f>HYPERLINK("http://141.218.60.56/~jnz1568/getInfo.php?workbook=16_14.xlsx&amp;sheet=A0&amp;row=68&amp;col=6&amp;number=1373400000&amp;sourceID=48","1373400000")</f>
        <v>1373400000</v>
      </c>
      <c r="G68" s="4" t="str">
        <f>HYPERLINK("http://141.218.60.56/~jnz1568/getInfo.php?workbook=16_14.xlsx&amp;sheet=A0&amp;row=68&amp;col=7&amp;number=&amp;sourceID=48","")</f>
        <v/>
      </c>
      <c r="H68" s="4" t="str">
        <f>HYPERLINK("http://141.218.60.56/~jnz1568/getInfo.php?workbook=16_14.xlsx&amp;sheet=A0&amp;row=68&amp;col=8&amp;number=&amp;sourceID=48","")</f>
        <v/>
      </c>
      <c r="I68" s="4" t="str">
        <f>HYPERLINK("http://141.218.60.56/~jnz1568/getInfo.php?workbook=16_14.xlsx&amp;sheet=A0&amp;row=68&amp;col=9&amp;number=&amp;sourceID=48","")</f>
        <v/>
      </c>
      <c r="J68" s="4" t="str">
        <f>HYPERLINK("http://141.218.60.56/~jnz1568/getInfo.php?workbook=16_14.xlsx&amp;sheet=A0&amp;row=68&amp;col=10&amp;number=&amp;sourceID=49","")</f>
        <v/>
      </c>
      <c r="K68" s="4" t="str">
        <f>HYPERLINK("http://141.218.60.56/~jnz1568/getInfo.php?workbook=16_14.xlsx&amp;sheet=A0&amp;row=68&amp;col=11&amp;number=&amp;sourceID=49","")</f>
        <v/>
      </c>
    </row>
    <row r="69" spans="1:11">
      <c r="A69" s="3">
        <v>16</v>
      </c>
      <c r="B69" s="3">
        <v>14</v>
      </c>
      <c r="C69" s="3">
        <v>23</v>
      </c>
      <c r="D69" s="3">
        <v>1</v>
      </c>
      <c r="E69" s="3">
        <f>((1/(INDEX(E0!J$4:J$47,C69,1)-INDEX(E0!J$4:J$47,D69,1))))*100000000</f>
        <v>0</v>
      </c>
      <c r="F69" s="4" t="str">
        <f>HYPERLINK("http://141.218.60.56/~jnz1568/getInfo.php?workbook=16_14.xlsx&amp;sheet=A0&amp;row=69&amp;col=6&amp;number=982920000&amp;sourceID=48","982920000")</f>
        <v>982920000</v>
      </c>
      <c r="G69" s="4" t="str">
        <f>HYPERLINK("http://141.218.60.56/~jnz1568/getInfo.php?workbook=16_14.xlsx&amp;sheet=A0&amp;row=69&amp;col=7&amp;number=&amp;sourceID=48","")</f>
        <v/>
      </c>
      <c r="H69" s="4" t="str">
        <f>HYPERLINK("http://141.218.60.56/~jnz1568/getInfo.php?workbook=16_14.xlsx&amp;sheet=A0&amp;row=69&amp;col=8&amp;number=&amp;sourceID=48","")</f>
        <v/>
      </c>
      <c r="I69" s="4" t="str">
        <f>HYPERLINK("http://141.218.60.56/~jnz1568/getInfo.php?workbook=16_14.xlsx&amp;sheet=A0&amp;row=69&amp;col=9&amp;number=&amp;sourceID=48","")</f>
        <v/>
      </c>
      <c r="J69" s="4" t="str">
        <f>HYPERLINK("http://141.218.60.56/~jnz1568/getInfo.php?workbook=16_14.xlsx&amp;sheet=A0&amp;row=69&amp;col=10&amp;number=&amp;sourceID=49","")</f>
        <v/>
      </c>
      <c r="K69" s="4" t="str">
        <f>HYPERLINK("http://141.218.60.56/~jnz1568/getInfo.php?workbook=16_14.xlsx&amp;sheet=A0&amp;row=69&amp;col=11&amp;number=&amp;sourceID=49","")</f>
        <v/>
      </c>
    </row>
    <row r="70" spans="1:11">
      <c r="A70" s="3">
        <v>16</v>
      </c>
      <c r="B70" s="3">
        <v>14</v>
      </c>
      <c r="C70" s="3">
        <v>23</v>
      </c>
      <c r="D70" s="3">
        <v>2</v>
      </c>
      <c r="E70" s="3">
        <f>((1/(INDEX(E0!J$4:J$47,C70,1)-INDEX(E0!J$4:J$47,D70,1))))*100000000</f>
        <v>0</v>
      </c>
      <c r="F70" s="4" t="str">
        <f>HYPERLINK("http://141.218.60.56/~jnz1568/getInfo.php?workbook=16_14.xlsx&amp;sheet=A0&amp;row=70&amp;col=6&amp;number=22373000&amp;sourceID=48","22373000")</f>
        <v>22373000</v>
      </c>
      <c r="G70" s="4" t="str">
        <f>HYPERLINK("http://141.218.60.56/~jnz1568/getInfo.php?workbook=16_14.xlsx&amp;sheet=A0&amp;row=70&amp;col=7&amp;number=&amp;sourceID=48","")</f>
        <v/>
      </c>
      <c r="H70" s="4" t="str">
        <f>HYPERLINK("http://141.218.60.56/~jnz1568/getInfo.php?workbook=16_14.xlsx&amp;sheet=A0&amp;row=70&amp;col=8&amp;number=&amp;sourceID=48","")</f>
        <v/>
      </c>
      <c r="I70" s="4" t="str">
        <f>HYPERLINK("http://141.218.60.56/~jnz1568/getInfo.php?workbook=16_14.xlsx&amp;sheet=A0&amp;row=70&amp;col=9&amp;number=&amp;sourceID=48","")</f>
        <v/>
      </c>
      <c r="J70" s="4" t="str">
        <f>HYPERLINK("http://141.218.60.56/~jnz1568/getInfo.php?workbook=16_14.xlsx&amp;sheet=A0&amp;row=70&amp;col=10&amp;number=&amp;sourceID=49","")</f>
        <v/>
      </c>
      <c r="K70" s="4" t="str">
        <f>HYPERLINK("http://141.218.60.56/~jnz1568/getInfo.php?workbook=16_14.xlsx&amp;sheet=A0&amp;row=70&amp;col=11&amp;number=&amp;sourceID=49","")</f>
        <v/>
      </c>
    </row>
    <row r="71" spans="1:11">
      <c r="A71" s="3">
        <v>16</v>
      </c>
      <c r="B71" s="3">
        <v>14</v>
      </c>
      <c r="C71" s="3">
        <v>23</v>
      </c>
      <c r="D71" s="3">
        <v>3</v>
      </c>
      <c r="E71" s="3">
        <f>((1/(INDEX(E0!J$4:J$47,C71,1)-INDEX(E0!J$4:J$47,D71,1))))*100000000</f>
        <v>0</v>
      </c>
      <c r="F71" s="4" t="str">
        <f>HYPERLINK("http://141.218.60.56/~jnz1568/getInfo.php?workbook=16_14.xlsx&amp;sheet=A0&amp;row=71&amp;col=6&amp;number=291460000&amp;sourceID=48","291460000")</f>
        <v>291460000</v>
      </c>
      <c r="G71" s="4" t="str">
        <f>HYPERLINK("http://141.218.60.56/~jnz1568/getInfo.php?workbook=16_14.xlsx&amp;sheet=A0&amp;row=71&amp;col=7&amp;number=&amp;sourceID=48","")</f>
        <v/>
      </c>
      <c r="H71" s="4" t="str">
        <f>HYPERLINK("http://141.218.60.56/~jnz1568/getInfo.php?workbook=16_14.xlsx&amp;sheet=A0&amp;row=71&amp;col=8&amp;number=&amp;sourceID=48","")</f>
        <v/>
      </c>
      <c r="I71" s="4" t="str">
        <f>HYPERLINK("http://141.218.60.56/~jnz1568/getInfo.php?workbook=16_14.xlsx&amp;sheet=A0&amp;row=71&amp;col=9&amp;number=&amp;sourceID=48","")</f>
        <v/>
      </c>
      <c r="J71" s="4" t="str">
        <f>HYPERLINK("http://141.218.60.56/~jnz1568/getInfo.php?workbook=16_14.xlsx&amp;sheet=A0&amp;row=71&amp;col=10&amp;number=&amp;sourceID=49","")</f>
        <v/>
      </c>
      <c r="K71" s="4" t="str">
        <f>HYPERLINK("http://141.218.60.56/~jnz1568/getInfo.php?workbook=16_14.xlsx&amp;sheet=A0&amp;row=71&amp;col=11&amp;number=&amp;sourceID=49","")</f>
        <v/>
      </c>
    </row>
    <row r="72" spans="1:11">
      <c r="A72" s="3">
        <v>16</v>
      </c>
      <c r="B72" s="3">
        <v>14</v>
      </c>
      <c r="C72" s="3">
        <v>23</v>
      </c>
      <c r="D72" s="3">
        <v>4</v>
      </c>
      <c r="E72" s="3">
        <f>((1/(INDEX(E0!J$4:J$47,C72,1)-INDEX(E0!J$4:J$47,D72,1))))*100000000</f>
        <v>0</v>
      </c>
      <c r="F72" s="4" t="str">
        <f>HYPERLINK("http://141.218.60.56/~jnz1568/getInfo.php?workbook=16_14.xlsx&amp;sheet=A0&amp;row=72&amp;col=6&amp;number=216650000&amp;sourceID=48","216650000")</f>
        <v>216650000</v>
      </c>
      <c r="G72" s="4" t="str">
        <f>HYPERLINK("http://141.218.60.56/~jnz1568/getInfo.php?workbook=16_14.xlsx&amp;sheet=A0&amp;row=72&amp;col=7&amp;number=&amp;sourceID=48","")</f>
        <v/>
      </c>
      <c r="H72" s="4" t="str">
        <f>HYPERLINK("http://141.218.60.56/~jnz1568/getInfo.php?workbook=16_14.xlsx&amp;sheet=A0&amp;row=72&amp;col=8&amp;number=&amp;sourceID=48","")</f>
        <v/>
      </c>
      <c r="I72" s="4" t="str">
        <f>HYPERLINK("http://141.218.60.56/~jnz1568/getInfo.php?workbook=16_14.xlsx&amp;sheet=A0&amp;row=72&amp;col=9&amp;number=&amp;sourceID=48","")</f>
        <v/>
      </c>
      <c r="J72" s="4" t="str">
        <f>HYPERLINK("http://141.218.60.56/~jnz1568/getInfo.php?workbook=16_14.xlsx&amp;sheet=A0&amp;row=72&amp;col=10&amp;number=&amp;sourceID=49","")</f>
        <v/>
      </c>
      <c r="K72" s="4" t="str">
        <f>HYPERLINK("http://141.218.60.56/~jnz1568/getInfo.php?workbook=16_14.xlsx&amp;sheet=A0&amp;row=72&amp;col=11&amp;number=&amp;sourceID=49","")</f>
        <v/>
      </c>
    </row>
    <row r="73" spans="1:11">
      <c r="A73" s="3">
        <v>16</v>
      </c>
      <c r="B73" s="3">
        <v>14</v>
      </c>
      <c r="C73" s="3">
        <v>23</v>
      </c>
      <c r="D73" s="3">
        <v>5</v>
      </c>
      <c r="E73" s="3">
        <f>((1/(INDEX(E0!J$4:J$47,C73,1)-INDEX(E0!J$4:J$47,D73,1))))*100000000</f>
        <v>0</v>
      </c>
      <c r="F73" s="4" t="str">
        <f>HYPERLINK("http://141.218.60.56/~jnz1568/getInfo.php?workbook=16_14.xlsx&amp;sheet=A0&amp;row=73&amp;col=6&amp;number=13961000&amp;sourceID=48","13961000")</f>
        <v>13961000</v>
      </c>
      <c r="G73" s="4" t="str">
        <f>HYPERLINK("http://141.218.60.56/~jnz1568/getInfo.php?workbook=16_14.xlsx&amp;sheet=A0&amp;row=73&amp;col=7&amp;number=&amp;sourceID=48","")</f>
        <v/>
      </c>
      <c r="H73" s="4" t="str">
        <f>HYPERLINK("http://141.218.60.56/~jnz1568/getInfo.php?workbook=16_14.xlsx&amp;sheet=A0&amp;row=73&amp;col=8&amp;number=&amp;sourceID=48","")</f>
        <v/>
      </c>
      <c r="I73" s="4" t="str">
        <f>HYPERLINK("http://141.218.60.56/~jnz1568/getInfo.php?workbook=16_14.xlsx&amp;sheet=A0&amp;row=73&amp;col=9&amp;number=&amp;sourceID=48","")</f>
        <v/>
      </c>
      <c r="J73" s="4" t="str">
        <f>HYPERLINK("http://141.218.60.56/~jnz1568/getInfo.php?workbook=16_14.xlsx&amp;sheet=A0&amp;row=73&amp;col=10&amp;number=&amp;sourceID=49","")</f>
        <v/>
      </c>
      <c r="K73" s="4" t="str">
        <f>HYPERLINK("http://141.218.60.56/~jnz1568/getInfo.php?workbook=16_14.xlsx&amp;sheet=A0&amp;row=73&amp;col=11&amp;number=&amp;sourceID=49","")</f>
        <v/>
      </c>
    </row>
    <row r="74" spans="1:11">
      <c r="A74" s="3">
        <v>16</v>
      </c>
      <c r="B74" s="3">
        <v>14</v>
      </c>
      <c r="C74" s="3">
        <v>24</v>
      </c>
      <c r="D74" s="3">
        <v>2</v>
      </c>
      <c r="E74" s="3">
        <f>((1/(INDEX(E0!J$4:J$47,C74,1)-INDEX(E0!J$4:J$47,D74,1))))*100000000</f>
        <v>0</v>
      </c>
      <c r="F74" s="4" t="str">
        <f>HYPERLINK("http://141.218.60.56/~jnz1568/getInfo.php?workbook=16_14.xlsx&amp;sheet=A0&amp;row=74&amp;col=6&amp;number=992870000&amp;sourceID=48","992870000")</f>
        <v>992870000</v>
      </c>
      <c r="G74" s="4" t="str">
        <f>HYPERLINK("http://141.218.60.56/~jnz1568/getInfo.php?workbook=16_14.xlsx&amp;sheet=A0&amp;row=74&amp;col=7&amp;number=&amp;sourceID=48","")</f>
        <v/>
      </c>
      <c r="H74" s="4" t="str">
        <f>HYPERLINK("http://141.218.60.56/~jnz1568/getInfo.php?workbook=16_14.xlsx&amp;sheet=A0&amp;row=74&amp;col=8&amp;number=&amp;sourceID=48","")</f>
        <v/>
      </c>
      <c r="I74" s="4" t="str">
        <f>HYPERLINK("http://141.218.60.56/~jnz1568/getInfo.php?workbook=16_14.xlsx&amp;sheet=A0&amp;row=74&amp;col=9&amp;number=&amp;sourceID=48","")</f>
        <v/>
      </c>
      <c r="J74" s="4" t="str">
        <f>HYPERLINK("http://141.218.60.56/~jnz1568/getInfo.php?workbook=16_14.xlsx&amp;sheet=A0&amp;row=74&amp;col=10&amp;number=&amp;sourceID=49","")</f>
        <v/>
      </c>
      <c r="K74" s="4" t="str">
        <f>HYPERLINK("http://141.218.60.56/~jnz1568/getInfo.php?workbook=16_14.xlsx&amp;sheet=A0&amp;row=74&amp;col=11&amp;number=&amp;sourceID=49","")</f>
        <v/>
      </c>
    </row>
    <row r="75" spans="1:11">
      <c r="A75" s="3">
        <v>16</v>
      </c>
      <c r="B75" s="3">
        <v>14</v>
      </c>
      <c r="C75" s="3">
        <v>24</v>
      </c>
      <c r="D75" s="3">
        <v>3</v>
      </c>
      <c r="E75" s="3">
        <f>((1/(INDEX(E0!J$4:J$47,C75,1)-INDEX(E0!J$4:J$47,D75,1))))*100000000</f>
        <v>0</v>
      </c>
      <c r="F75" s="4" t="str">
        <f>HYPERLINK("http://141.218.60.56/~jnz1568/getInfo.php?workbook=16_14.xlsx&amp;sheet=A0&amp;row=75&amp;col=6&amp;number=39932000&amp;sourceID=48","39932000")</f>
        <v>39932000</v>
      </c>
      <c r="G75" s="4" t="str">
        <f>HYPERLINK("http://141.218.60.56/~jnz1568/getInfo.php?workbook=16_14.xlsx&amp;sheet=A0&amp;row=75&amp;col=7&amp;number=&amp;sourceID=48","")</f>
        <v/>
      </c>
      <c r="H75" s="4" t="str">
        <f>HYPERLINK("http://141.218.60.56/~jnz1568/getInfo.php?workbook=16_14.xlsx&amp;sheet=A0&amp;row=75&amp;col=8&amp;number=&amp;sourceID=48","")</f>
        <v/>
      </c>
      <c r="I75" s="4" t="str">
        <f>HYPERLINK("http://141.218.60.56/~jnz1568/getInfo.php?workbook=16_14.xlsx&amp;sheet=A0&amp;row=75&amp;col=9&amp;number=&amp;sourceID=48","")</f>
        <v/>
      </c>
      <c r="J75" s="4" t="str">
        <f>HYPERLINK("http://141.218.60.56/~jnz1568/getInfo.php?workbook=16_14.xlsx&amp;sheet=A0&amp;row=75&amp;col=10&amp;number=&amp;sourceID=49","")</f>
        <v/>
      </c>
      <c r="K75" s="4" t="str">
        <f>HYPERLINK("http://141.218.60.56/~jnz1568/getInfo.php?workbook=16_14.xlsx&amp;sheet=A0&amp;row=75&amp;col=11&amp;number=&amp;sourceID=49","")</f>
        <v/>
      </c>
    </row>
    <row r="76" spans="1:11">
      <c r="A76" s="3">
        <v>16</v>
      </c>
      <c r="B76" s="3">
        <v>14</v>
      </c>
      <c r="C76" s="3">
        <v>24</v>
      </c>
      <c r="D76" s="3">
        <v>4</v>
      </c>
      <c r="E76" s="3">
        <f>((1/(INDEX(E0!J$4:J$47,C76,1)-INDEX(E0!J$4:J$47,D76,1))))*100000000</f>
        <v>0</v>
      </c>
      <c r="F76" s="4" t="str">
        <f>HYPERLINK("http://141.218.60.56/~jnz1568/getInfo.php?workbook=16_14.xlsx&amp;sheet=A0&amp;row=76&amp;col=6&amp;number=6934000&amp;sourceID=48","6934000")</f>
        <v>6934000</v>
      </c>
      <c r="G76" s="4" t="str">
        <f>HYPERLINK("http://141.218.60.56/~jnz1568/getInfo.php?workbook=16_14.xlsx&amp;sheet=A0&amp;row=76&amp;col=7&amp;number=&amp;sourceID=48","")</f>
        <v/>
      </c>
      <c r="H76" s="4" t="str">
        <f>HYPERLINK("http://141.218.60.56/~jnz1568/getInfo.php?workbook=16_14.xlsx&amp;sheet=A0&amp;row=76&amp;col=8&amp;number=&amp;sourceID=48","")</f>
        <v/>
      </c>
      <c r="I76" s="4" t="str">
        <f>HYPERLINK("http://141.218.60.56/~jnz1568/getInfo.php?workbook=16_14.xlsx&amp;sheet=A0&amp;row=76&amp;col=9&amp;number=&amp;sourceID=48","")</f>
        <v/>
      </c>
      <c r="J76" s="4" t="str">
        <f>HYPERLINK("http://141.218.60.56/~jnz1568/getInfo.php?workbook=16_14.xlsx&amp;sheet=A0&amp;row=76&amp;col=10&amp;number=&amp;sourceID=49","")</f>
        <v/>
      </c>
      <c r="K76" s="4" t="str">
        <f>HYPERLINK("http://141.218.60.56/~jnz1568/getInfo.php?workbook=16_14.xlsx&amp;sheet=A0&amp;row=76&amp;col=11&amp;number=&amp;sourceID=49","")</f>
        <v/>
      </c>
    </row>
    <row r="77" spans="1:11">
      <c r="A77" s="3">
        <v>16</v>
      </c>
      <c r="B77" s="3">
        <v>14</v>
      </c>
      <c r="C77" s="3">
        <v>25</v>
      </c>
      <c r="D77" s="3">
        <v>1</v>
      </c>
      <c r="E77" s="3">
        <f>((1/(INDEX(E0!J$4:J$47,C77,1)-INDEX(E0!J$4:J$47,D77,1))))*100000000</f>
        <v>0</v>
      </c>
      <c r="F77" s="4" t="str">
        <f>HYPERLINK("http://141.218.60.56/~jnz1568/getInfo.php?workbook=16_14.xlsx&amp;sheet=A0&amp;row=77&amp;col=6&amp;number=6978200000&amp;sourceID=48","6978200000")</f>
        <v>6978200000</v>
      </c>
      <c r="G77" s="4" t="str">
        <f>HYPERLINK("http://141.218.60.56/~jnz1568/getInfo.php?workbook=16_14.xlsx&amp;sheet=A0&amp;row=77&amp;col=7&amp;number=&amp;sourceID=48","")</f>
        <v/>
      </c>
      <c r="H77" s="4" t="str">
        <f>HYPERLINK("http://141.218.60.56/~jnz1568/getInfo.php?workbook=16_14.xlsx&amp;sheet=A0&amp;row=77&amp;col=8&amp;number=&amp;sourceID=48","")</f>
        <v/>
      </c>
      <c r="I77" s="4" t="str">
        <f>HYPERLINK("http://141.218.60.56/~jnz1568/getInfo.php?workbook=16_14.xlsx&amp;sheet=A0&amp;row=77&amp;col=9&amp;number=&amp;sourceID=48","")</f>
        <v/>
      </c>
      <c r="J77" s="4" t="str">
        <f>HYPERLINK("http://141.218.60.56/~jnz1568/getInfo.php?workbook=16_14.xlsx&amp;sheet=A0&amp;row=77&amp;col=10&amp;number=&amp;sourceID=49","")</f>
        <v/>
      </c>
      <c r="K77" s="4" t="str">
        <f>HYPERLINK("http://141.218.60.56/~jnz1568/getInfo.php?workbook=16_14.xlsx&amp;sheet=A0&amp;row=77&amp;col=11&amp;number=&amp;sourceID=49","")</f>
        <v/>
      </c>
    </row>
    <row r="78" spans="1:11">
      <c r="A78" s="3">
        <v>16</v>
      </c>
      <c r="B78" s="3">
        <v>14</v>
      </c>
      <c r="C78" s="3">
        <v>25</v>
      </c>
      <c r="D78" s="3">
        <v>2</v>
      </c>
      <c r="E78" s="3">
        <f>((1/(INDEX(E0!J$4:J$47,C78,1)-INDEX(E0!J$4:J$47,D78,1))))*100000000</f>
        <v>0</v>
      </c>
      <c r="F78" s="4" t="str">
        <f>HYPERLINK("http://141.218.60.56/~jnz1568/getInfo.php?workbook=16_14.xlsx&amp;sheet=A0&amp;row=78&amp;col=6&amp;number=6541600000&amp;sourceID=48","6541600000")</f>
        <v>6541600000</v>
      </c>
      <c r="G78" s="4" t="str">
        <f>HYPERLINK("http://141.218.60.56/~jnz1568/getInfo.php?workbook=16_14.xlsx&amp;sheet=A0&amp;row=78&amp;col=7&amp;number=&amp;sourceID=48","")</f>
        <v/>
      </c>
      <c r="H78" s="4" t="str">
        <f>HYPERLINK("http://141.218.60.56/~jnz1568/getInfo.php?workbook=16_14.xlsx&amp;sheet=A0&amp;row=78&amp;col=8&amp;number=&amp;sourceID=48","")</f>
        <v/>
      </c>
      <c r="I78" s="4" t="str">
        <f>HYPERLINK("http://141.218.60.56/~jnz1568/getInfo.php?workbook=16_14.xlsx&amp;sheet=A0&amp;row=78&amp;col=9&amp;number=&amp;sourceID=48","")</f>
        <v/>
      </c>
      <c r="J78" s="4" t="str">
        <f>HYPERLINK("http://141.218.60.56/~jnz1568/getInfo.php?workbook=16_14.xlsx&amp;sheet=A0&amp;row=78&amp;col=10&amp;number=&amp;sourceID=49","")</f>
        <v/>
      </c>
      <c r="K78" s="4" t="str">
        <f>HYPERLINK("http://141.218.60.56/~jnz1568/getInfo.php?workbook=16_14.xlsx&amp;sheet=A0&amp;row=78&amp;col=11&amp;number=&amp;sourceID=49","")</f>
        <v/>
      </c>
    </row>
    <row r="79" spans="1:11">
      <c r="A79" s="3">
        <v>16</v>
      </c>
      <c r="B79" s="3">
        <v>14</v>
      </c>
      <c r="C79" s="3">
        <v>25</v>
      </c>
      <c r="D79" s="3">
        <v>3</v>
      </c>
      <c r="E79" s="3">
        <f>((1/(INDEX(E0!J$4:J$47,C79,1)-INDEX(E0!J$4:J$47,D79,1))))*100000000</f>
        <v>0</v>
      </c>
      <c r="F79" s="4" t="str">
        <f>HYPERLINK("http://141.218.60.56/~jnz1568/getInfo.php?workbook=16_14.xlsx&amp;sheet=A0&amp;row=79&amp;col=6&amp;number=641320000&amp;sourceID=48","641320000")</f>
        <v>641320000</v>
      </c>
      <c r="G79" s="4" t="str">
        <f>HYPERLINK("http://141.218.60.56/~jnz1568/getInfo.php?workbook=16_14.xlsx&amp;sheet=A0&amp;row=79&amp;col=7&amp;number=&amp;sourceID=48","")</f>
        <v/>
      </c>
      <c r="H79" s="4" t="str">
        <f>HYPERLINK("http://141.218.60.56/~jnz1568/getInfo.php?workbook=16_14.xlsx&amp;sheet=A0&amp;row=79&amp;col=8&amp;number=&amp;sourceID=48","")</f>
        <v/>
      </c>
      <c r="I79" s="4" t="str">
        <f>HYPERLINK("http://141.218.60.56/~jnz1568/getInfo.php?workbook=16_14.xlsx&amp;sheet=A0&amp;row=79&amp;col=9&amp;number=&amp;sourceID=48","")</f>
        <v/>
      </c>
      <c r="J79" s="4" t="str">
        <f>HYPERLINK("http://141.218.60.56/~jnz1568/getInfo.php?workbook=16_14.xlsx&amp;sheet=A0&amp;row=79&amp;col=10&amp;number=&amp;sourceID=49","")</f>
        <v/>
      </c>
      <c r="K79" s="4" t="str">
        <f>HYPERLINK("http://141.218.60.56/~jnz1568/getInfo.php?workbook=16_14.xlsx&amp;sheet=A0&amp;row=79&amp;col=11&amp;number=&amp;sourceID=49","")</f>
        <v/>
      </c>
    </row>
    <row r="80" spans="1:11">
      <c r="A80" s="3">
        <v>16</v>
      </c>
      <c r="B80" s="3">
        <v>14</v>
      </c>
      <c r="C80" s="3">
        <v>25</v>
      </c>
      <c r="D80" s="3">
        <v>4</v>
      </c>
      <c r="E80" s="3">
        <f>((1/(INDEX(E0!J$4:J$47,C80,1)-INDEX(E0!J$4:J$47,D80,1))))*100000000</f>
        <v>0</v>
      </c>
      <c r="F80" s="4" t="str">
        <f>HYPERLINK("http://141.218.60.56/~jnz1568/getInfo.php?workbook=16_14.xlsx&amp;sheet=A0&amp;row=80&amp;col=6&amp;number=1468800&amp;sourceID=48","1468800")</f>
        <v>1468800</v>
      </c>
      <c r="G80" s="4" t="str">
        <f>HYPERLINK("http://141.218.60.56/~jnz1568/getInfo.php?workbook=16_14.xlsx&amp;sheet=A0&amp;row=80&amp;col=7&amp;number=&amp;sourceID=48","")</f>
        <v/>
      </c>
      <c r="H80" s="4" t="str">
        <f>HYPERLINK("http://141.218.60.56/~jnz1568/getInfo.php?workbook=16_14.xlsx&amp;sheet=A0&amp;row=80&amp;col=8&amp;number=&amp;sourceID=48","")</f>
        <v/>
      </c>
      <c r="I80" s="4" t="str">
        <f>HYPERLINK("http://141.218.60.56/~jnz1568/getInfo.php?workbook=16_14.xlsx&amp;sheet=A0&amp;row=80&amp;col=9&amp;number=&amp;sourceID=48","")</f>
        <v/>
      </c>
      <c r="J80" s="4" t="str">
        <f>HYPERLINK("http://141.218.60.56/~jnz1568/getInfo.php?workbook=16_14.xlsx&amp;sheet=A0&amp;row=80&amp;col=10&amp;number=&amp;sourceID=49","")</f>
        <v/>
      </c>
      <c r="K80" s="4" t="str">
        <f>HYPERLINK("http://141.218.60.56/~jnz1568/getInfo.php?workbook=16_14.xlsx&amp;sheet=A0&amp;row=80&amp;col=11&amp;number=&amp;sourceID=49","")</f>
        <v/>
      </c>
    </row>
    <row r="81" spans="1:11">
      <c r="A81" s="3">
        <v>16</v>
      </c>
      <c r="B81" s="3">
        <v>14</v>
      </c>
      <c r="C81" s="3">
        <v>25</v>
      </c>
      <c r="D81" s="3">
        <v>5</v>
      </c>
      <c r="E81" s="3">
        <f>((1/(INDEX(E0!J$4:J$47,C81,1)-INDEX(E0!J$4:J$47,D81,1))))*100000000</f>
        <v>0</v>
      </c>
      <c r="F81" s="4" t="str">
        <f>HYPERLINK("http://141.218.60.56/~jnz1568/getInfo.php?workbook=16_14.xlsx&amp;sheet=A0&amp;row=81&amp;col=6&amp;number=188480&amp;sourceID=48","188480")</f>
        <v>188480</v>
      </c>
      <c r="G81" s="4" t="str">
        <f>HYPERLINK("http://141.218.60.56/~jnz1568/getInfo.php?workbook=16_14.xlsx&amp;sheet=A0&amp;row=81&amp;col=7&amp;number=&amp;sourceID=48","")</f>
        <v/>
      </c>
      <c r="H81" s="4" t="str">
        <f>HYPERLINK("http://141.218.60.56/~jnz1568/getInfo.php?workbook=16_14.xlsx&amp;sheet=A0&amp;row=81&amp;col=8&amp;number=&amp;sourceID=48","")</f>
        <v/>
      </c>
      <c r="I81" s="4" t="str">
        <f>HYPERLINK("http://141.218.60.56/~jnz1568/getInfo.php?workbook=16_14.xlsx&amp;sheet=A0&amp;row=81&amp;col=9&amp;number=&amp;sourceID=48","")</f>
        <v/>
      </c>
      <c r="J81" s="4" t="str">
        <f>HYPERLINK("http://141.218.60.56/~jnz1568/getInfo.php?workbook=16_14.xlsx&amp;sheet=A0&amp;row=81&amp;col=10&amp;number=&amp;sourceID=49","")</f>
        <v/>
      </c>
      <c r="K81" s="4" t="str">
        <f>HYPERLINK("http://141.218.60.56/~jnz1568/getInfo.php?workbook=16_14.xlsx&amp;sheet=A0&amp;row=81&amp;col=11&amp;number=&amp;sourceID=49","")</f>
        <v/>
      </c>
    </row>
    <row r="82" spans="1:11">
      <c r="A82" s="3">
        <v>16</v>
      </c>
      <c r="B82" s="3">
        <v>14</v>
      </c>
      <c r="C82" s="3">
        <v>26</v>
      </c>
      <c r="D82" s="3">
        <v>2</v>
      </c>
      <c r="E82" s="3">
        <f>((1/(INDEX(E0!J$4:J$47,C82,1)-INDEX(E0!J$4:J$47,D82,1))))*100000000</f>
        <v>0</v>
      </c>
      <c r="F82" s="4" t="str">
        <f>HYPERLINK("http://141.218.60.56/~jnz1568/getInfo.php?workbook=16_14.xlsx&amp;sheet=A0&amp;row=82&amp;col=6&amp;number=9397400000&amp;sourceID=48","9397400000")</f>
        <v>9397400000</v>
      </c>
      <c r="G82" s="4" t="str">
        <f>HYPERLINK("http://141.218.60.56/~jnz1568/getInfo.php?workbook=16_14.xlsx&amp;sheet=A0&amp;row=82&amp;col=7&amp;number=&amp;sourceID=48","")</f>
        <v/>
      </c>
      <c r="H82" s="4" t="str">
        <f>HYPERLINK("http://141.218.60.56/~jnz1568/getInfo.php?workbook=16_14.xlsx&amp;sheet=A0&amp;row=82&amp;col=8&amp;number=&amp;sourceID=48","")</f>
        <v/>
      </c>
      <c r="I82" s="4" t="str">
        <f>HYPERLINK("http://141.218.60.56/~jnz1568/getInfo.php?workbook=16_14.xlsx&amp;sheet=A0&amp;row=82&amp;col=9&amp;number=&amp;sourceID=48","")</f>
        <v/>
      </c>
      <c r="J82" s="4" t="str">
        <f>HYPERLINK("http://141.218.60.56/~jnz1568/getInfo.php?workbook=16_14.xlsx&amp;sheet=A0&amp;row=82&amp;col=10&amp;number=&amp;sourceID=49","")</f>
        <v/>
      </c>
      <c r="K82" s="4" t="str">
        <f>HYPERLINK("http://141.218.60.56/~jnz1568/getInfo.php?workbook=16_14.xlsx&amp;sheet=A0&amp;row=82&amp;col=11&amp;number=&amp;sourceID=49","")</f>
        <v/>
      </c>
    </row>
    <row r="83" spans="1:11">
      <c r="A83" s="3">
        <v>16</v>
      </c>
      <c r="B83" s="3">
        <v>14</v>
      </c>
      <c r="C83" s="3">
        <v>26</v>
      </c>
      <c r="D83" s="3">
        <v>3</v>
      </c>
      <c r="E83" s="3">
        <f>((1/(INDEX(E0!J$4:J$47,C83,1)-INDEX(E0!J$4:J$47,D83,1))))*100000000</f>
        <v>0</v>
      </c>
      <c r="F83" s="4" t="str">
        <f>HYPERLINK("http://141.218.60.56/~jnz1568/getInfo.php?workbook=16_14.xlsx&amp;sheet=A0&amp;row=83&amp;col=6&amp;number=4510200000&amp;sourceID=48","4510200000")</f>
        <v>4510200000</v>
      </c>
      <c r="G83" s="4" t="str">
        <f>HYPERLINK("http://141.218.60.56/~jnz1568/getInfo.php?workbook=16_14.xlsx&amp;sheet=A0&amp;row=83&amp;col=7&amp;number=&amp;sourceID=48","")</f>
        <v/>
      </c>
      <c r="H83" s="4" t="str">
        <f>HYPERLINK("http://141.218.60.56/~jnz1568/getInfo.php?workbook=16_14.xlsx&amp;sheet=A0&amp;row=83&amp;col=8&amp;number=&amp;sourceID=48","")</f>
        <v/>
      </c>
      <c r="I83" s="4" t="str">
        <f>HYPERLINK("http://141.218.60.56/~jnz1568/getInfo.php?workbook=16_14.xlsx&amp;sheet=A0&amp;row=83&amp;col=9&amp;number=&amp;sourceID=48","")</f>
        <v/>
      </c>
      <c r="J83" s="4" t="str">
        <f>HYPERLINK("http://141.218.60.56/~jnz1568/getInfo.php?workbook=16_14.xlsx&amp;sheet=A0&amp;row=83&amp;col=10&amp;number=&amp;sourceID=49","")</f>
        <v/>
      </c>
      <c r="K83" s="4" t="str">
        <f>HYPERLINK("http://141.218.60.56/~jnz1568/getInfo.php?workbook=16_14.xlsx&amp;sheet=A0&amp;row=83&amp;col=11&amp;number=&amp;sourceID=49","")</f>
        <v/>
      </c>
    </row>
    <row r="84" spans="1:11">
      <c r="A84" s="3">
        <v>16</v>
      </c>
      <c r="B84" s="3">
        <v>14</v>
      </c>
      <c r="C84" s="3">
        <v>26</v>
      </c>
      <c r="D84" s="3">
        <v>4</v>
      </c>
      <c r="E84" s="3">
        <f>((1/(INDEX(E0!J$4:J$47,C84,1)-INDEX(E0!J$4:J$47,D84,1))))*100000000</f>
        <v>0</v>
      </c>
      <c r="F84" s="4" t="str">
        <f>HYPERLINK("http://141.218.60.56/~jnz1568/getInfo.php?workbook=16_14.xlsx&amp;sheet=A0&amp;row=84&amp;col=6&amp;number=4942400&amp;sourceID=48","4942400")</f>
        <v>4942400</v>
      </c>
      <c r="G84" s="4" t="str">
        <f>HYPERLINK("http://141.218.60.56/~jnz1568/getInfo.php?workbook=16_14.xlsx&amp;sheet=A0&amp;row=84&amp;col=7&amp;number=&amp;sourceID=48","")</f>
        <v/>
      </c>
      <c r="H84" s="4" t="str">
        <f>HYPERLINK("http://141.218.60.56/~jnz1568/getInfo.php?workbook=16_14.xlsx&amp;sheet=A0&amp;row=84&amp;col=8&amp;number=&amp;sourceID=48","")</f>
        <v/>
      </c>
      <c r="I84" s="4" t="str">
        <f>HYPERLINK("http://141.218.60.56/~jnz1568/getInfo.php?workbook=16_14.xlsx&amp;sheet=A0&amp;row=84&amp;col=9&amp;number=&amp;sourceID=48","")</f>
        <v/>
      </c>
      <c r="J84" s="4" t="str">
        <f>HYPERLINK("http://141.218.60.56/~jnz1568/getInfo.php?workbook=16_14.xlsx&amp;sheet=A0&amp;row=84&amp;col=10&amp;number=&amp;sourceID=49","")</f>
        <v/>
      </c>
      <c r="K84" s="4" t="str">
        <f>HYPERLINK("http://141.218.60.56/~jnz1568/getInfo.php?workbook=16_14.xlsx&amp;sheet=A0&amp;row=84&amp;col=11&amp;number=&amp;sourceID=49","")</f>
        <v/>
      </c>
    </row>
    <row r="85" spans="1:11">
      <c r="A85" s="3">
        <v>16</v>
      </c>
      <c r="B85" s="3">
        <v>14</v>
      </c>
      <c r="C85" s="3">
        <v>27</v>
      </c>
      <c r="D85" s="3">
        <v>3</v>
      </c>
      <c r="E85" s="3">
        <f>((1/(INDEX(E0!J$4:J$47,C85,1)-INDEX(E0!J$4:J$47,D85,1))))*100000000</f>
        <v>0</v>
      </c>
      <c r="F85" s="4" t="str">
        <f>HYPERLINK("http://141.218.60.56/~jnz1568/getInfo.php?workbook=16_14.xlsx&amp;sheet=A0&amp;row=85&amp;col=6&amp;number=14373000000&amp;sourceID=48","14373000000")</f>
        <v>14373000000</v>
      </c>
      <c r="G85" s="4" t="str">
        <f>HYPERLINK("http://141.218.60.56/~jnz1568/getInfo.php?workbook=16_14.xlsx&amp;sheet=A0&amp;row=85&amp;col=7&amp;number=&amp;sourceID=48","")</f>
        <v/>
      </c>
      <c r="H85" s="4" t="str">
        <f>HYPERLINK("http://141.218.60.56/~jnz1568/getInfo.php?workbook=16_14.xlsx&amp;sheet=A0&amp;row=85&amp;col=8&amp;number=&amp;sourceID=48","")</f>
        <v/>
      </c>
      <c r="I85" s="4" t="str">
        <f>HYPERLINK("http://141.218.60.56/~jnz1568/getInfo.php?workbook=16_14.xlsx&amp;sheet=A0&amp;row=85&amp;col=9&amp;number=&amp;sourceID=48","")</f>
        <v/>
      </c>
      <c r="J85" s="4" t="str">
        <f>HYPERLINK("http://141.218.60.56/~jnz1568/getInfo.php?workbook=16_14.xlsx&amp;sheet=A0&amp;row=85&amp;col=10&amp;number=&amp;sourceID=49","")</f>
        <v/>
      </c>
      <c r="K85" s="4" t="str">
        <f>HYPERLINK("http://141.218.60.56/~jnz1568/getInfo.php?workbook=16_14.xlsx&amp;sheet=A0&amp;row=85&amp;col=11&amp;number=&amp;sourceID=49","")</f>
        <v/>
      </c>
    </row>
    <row r="86" spans="1:11">
      <c r="A86" s="3">
        <v>16</v>
      </c>
      <c r="B86" s="3">
        <v>14</v>
      </c>
      <c r="C86" s="3">
        <v>27</v>
      </c>
      <c r="D86" s="3">
        <v>4</v>
      </c>
      <c r="E86" s="3">
        <f>((1/(INDEX(E0!J$4:J$47,C86,1)-INDEX(E0!J$4:J$47,D86,1))))*100000000</f>
        <v>0</v>
      </c>
      <c r="F86" s="4" t="str">
        <f>HYPERLINK("http://141.218.60.56/~jnz1568/getInfo.php?workbook=16_14.xlsx&amp;sheet=A0&amp;row=86&amp;col=6&amp;number=1605900&amp;sourceID=48","1605900")</f>
        <v>1605900</v>
      </c>
      <c r="G86" s="4" t="str">
        <f>HYPERLINK("http://141.218.60.56/~jnz1568/getInfo.php?workbook=16_14.xlsx&amp;sheet=A0&amp;row=86&amp;col=7&amp;number=&amp;sourceID=48","")</f>
        <v/>
      </c>
      <c r="H86" s="4" t="str">
        <f>HYPERLINK("http://141.218.60.56/~jnz1568/getInfo.php?workbook=16_14.xlsx&amp;sheet=A0&amp;row=86&amp;col=8&amp;number=&amp;sourceID=48","")</f>
        <v/>
      </c>
      <c r="I86" s="4" t="str">
        <f>HYPERLINK("http://141.218.60.56/~jnz1568/getInfo.php?workbook=16_14.xlsx&amp;sheet=A0&amp;row=86&amp;col=9&amp;number=&amp;sourceID=48","")</f>
        <v/>
      </c>
      <c r="J86" s="4" t="str">
        <f>HYPERLINK("http://141.218.60.56/~jnz1568/getInfo.php?workbook=16_14.xlsx&amp;sheet=A0&amp;row=86&amp;col=10&amp;number=&amp;sourceID=49","")</f>
        <v/>
      </c>
      <c r="K86" s="4" t="str">
        <f>HYPERLINK("http://141.218.60.56/~jnz1568/getInfo.php?workbook=16_14.xlsx&amp;sheet=A0&amp;row=86&amp;col=11&amp;number=&amp;sourceID=49","")</f>
        <v/>
      </c>
    </row>
    <row r="87" spans="1:11">
      <c r="A87" s="3">
        <v>16</v>
      </c>
      <c r="B87" s="3">
        <v>14</v>
      </c>
      <c r="C87" s="3">
        <v>28</v>
      </c>
      <c r="D87" s="3">
        <v>1</v>
      </c>
      <c r="E87" s="3">
        <f>((1/(INDEX(E0!J$4:J$47,C87,1)-INDEX(E0!J$4:J$47,D87,1))))*100000000</f>
        <v>0</v>
      </c>
      <c r="F87" s="4" t="str">
        <f>HYPERLINK("http://141.218.60.56/~jnz1568/getInfo.php?workbook=16_14.xlsx&amp;sheet=A0&amp;row=87&amp;col=6&amp;number=73925000&amp;sourceID=48","73925000")</f>
        <v>73925000</v>
      </c>
      <c r="G87" s="4" t="str">
        <f>HYPERLINK("http://141.218.60.56/~jnz1568/getInfo.php?workbook=16_14.xlsx&amp;sheet=A0&amp;row=87&amp;col=7&amp;number=&amp;sourceID=48","")</f>
        <v/>
      </c>
      <c r="H87" s="4" t="str">
        <f>HYPERLINK("http://141.218.60.56/~jnz1568/getInfo.php?workbook=16_14.xlsx&amp;sheet=A0&amp;row=87&amp;col=8&amp;number=&amp;sourceID=48","")</f>
        <v/>
      </c>
      <c r="I87" s="4" t="str">
        <f>HYPERLINK("http://141.218.60.56/~jnz1568/getInfo.php?workbook=16_14.xlsx&amp;sheet=A0&amp;row=87&amp;col=9&amp;number=&amp;sourceID=48","")</f>
        <v/>
      </c>
      <c r="J87" s="4" t="str">
        <f>HYPERLINK("http://141.218.60.56/~jnz1568/getInfo.php?workbook=16_14.xlsx&amp;sheet=A0&amp;row=87&amp;col=10&amp;number=&amp;sourceID=49","")</f>
        <v/>
      </c>
      <c r="K87" s="4" t="str">
        <f>HYPERLINK("http://141.218.60.56/~jnz1568/getInfo.php?workbook=16_14.xlsx&amp;sheet=A0&amp;row=87&amp;col=11&amp;number=&amp;sourceID=49","")</f>
        <v/>
      </c>
    </row>
    <row r="88" spans="1:11">
      <c r="A88" s="3">
        <v>16</v>
      </c>
      <c r="B88" s="3">
        <v>14</v>
      </c>
      <c r="C88" s="3">
        <v>28</v>
      </c>
      <c r="D88" s="3">
        <v>2</v>
      </c>
      <c r="E88" s="3">
        <f>((1/(INDEX(E0!J$4:J$47,C88,1)-INDEX(E0!J$4:J$47,D88,1))))*100000000</f>
        <v>0</v>
      </c>
      <c r="F88" s="4" t="str">
        <f>HYPERLINK("http://141.218.60.56/~jnz1568/getInfo.php?workbook=16_14.xlsx&amp;sheet=A0&amp;row=88&amp;col=6&amp;number=13870000&amp;sourceID=48","13870000")</f>
        <v>13870000</v>
      </c>
      <c r="G88" s="4" t="str">
        <f>HYPERLINK("http://141.218.60.56/~jnz1568/getInfo.php?workbook=16_14.xlsx&amp;sheet=A0&amp;row=88&amp;col=7&amp;number=&amp;sourceID=48","")</f>
        <v/>
      </c>
      <c r="H88" s="4" t="str">
        <f>HYPERLINK("http://141.218.60.56/~jnz1568/getInfo.php?workbook=16_14.xlsx&amp;sheet=A0&amp;row=88&amp;col=8&amp;number=&amp;sourceID=48","")</f>
        <v/>
      </c>
      <c r="I88" s="4" t="str">
        <f>HYPERLINK("http://141.218.60.56/~jnz1568/getInfo.php?workbook=16_14.xlsx&amp;sheet=A0&amp;row=88&amp;col=9&amp;number=&amp;sourceID=48","")</f>
        <v/>
      </c>
      <c r="J88" s="4" t="str">
        <f>HYPERLINK("http://141.218.60.56/~jnz1568/getInfo.php?workbook=16_14.xlsx&amp;sheet=A0&amp;row=88&amp;col=10&amp;number=&amp;sourceID=49","")</f>
        <v/>
      </c>
      <c r="K88" s="4" t="str">
        <f>HYPERLINK("http://141.218.60.56/~jnz1568/getInfo.php?workbook=16_14.xlsx&amp;sheet=A0&amp;row=88&amp;col=11&amp;number=&amp;sourceID=49","")</f>
        <v/>
      </c>
    </row>
    <row r="89" spans="1:11">
      <c r="A89" s="3">
        <v>16</v>
      </c>
      <c r="B89" s="3">
        <v>14</v>
      </c>
      <c r="C89" s="3">
        <v>28</v>
      </c>
      <c r="D89" s="3">
        <v>3</v>
      </c>
      <c r="E89" s="3">
        <f>((1/(INDEX(E0!J$4:J$47,C89,1)-INDEX(E0!J$4:J$47,D89,1))))*100000000</f>
        <v>0</v>
      </c>
      <c r="F89" s="4" t="str">
        <f>HYPERLINK("http://141.218.60.56/~jnz1568/getInfo.php?workbook=16_14.xlsx&amp;sheet=A0&amp;row=89&amp;col=6&amp;number=5897200&amp;sourceID=48","5897200")</f>
        <v>5897200</v>
      </c>
      <c r="G89" s="4" t="str">
        <f>HYPERLINK("http://141.218.60.56/~jnz1568/getInfo.php?workbook=16_14.xlsx&amp;sheet=A0&amp;row=89&amp;col=7&amp;number=&amp;sourceID=48","")</f>
        <v/>
      </c>
      <c r="H89" s="4" t="str">
        <f>HYPERLINK("http://141.218.60.56/~jnz1568/getInfo.php?workbook=16_14.xlsx&amp;sheet=A0&amp;row=89&amp;col=8&amp;number=&amp;sourceID=48","")</f>
        <v/>
      </c>
      <c r="I89" s="4" t="str">
        <f>HYPERLINK("http://141.218.60.56/~jnz1568/getInfo.php?workbook=16_14.xlsx&amp;sheet=A0&amp;row=89&amp;col=9&amp;number=&amp;sourceID=48","")</f>
        <v/>
      </c>
      <c r="J89" s="4" t="str">
        <f>HYPERLINK("http://141.218.60.56/~jnz1568/getInfo.php?workbook=16_14.xlsx&amp;sheet=A0&amp;row=89&amp;col=10&amp;number=&amp;sourceID=49","")</f>
        <v/>
      </c>
      <c r="K89" s="4" t="str">
        <f>HYPERLINK("http://141.218.60.56/~jnz1568/getInfo.php?workbook=16_14.xlsx&amp;sheet=A0&amp;row=89&amp;col=11&amp;number=&amp;sourceID=49","")</f>
        <v/>
      </c>
    </row>
    <row r="90" spans="1:11">
      <c r="A90" s="3">
        <v>16</v>
      </c>
      <c r="B90" s="3">
        <v>14</v>
      </c>
      <c r="C90" s="3">
        <v>28</v>
      </c>
      <c r="D90" s="3">
        <v>4</v>
      </c>
      <c r="E90" s="3">
        <f>((1/(INDEX(E0!J$4:J$47,C90,1)-INDEX(E0!J$4:J$47,D90,1))))*100000000</f>
        <v>0</v>
      </c>
      <c r="F90" s="4" t="str">
        <f>HYPERLINK("http://141.218.60.56/~jnz1568/getInfo.php?workbook=16_14.xlsx&amp;sheet=A0&amp;row=90&amp;col=6&amp;number=2481000000&amp;sourceID=48","2481000000")</f>
        <v>2481000000</v>
      </c>
      <c r="G90" s="4" t="str">
        <f>HYPERLINK("http://141.218.60.56/~jnz1568/getInfo.php?workbook=16_14.xlsx&amp;sheet=A0&amp;row=90&amp;col=7&amp;number=&amp;sourceID=48","")</f>
        <v/>
      </c>
      <c r="H90" s="4" t="str">
        <f>HYPERLINK("http://141.218.60.56/~jnz1568/getInfo.php?workbook=16_14.xlsx&amp;sheet=A0&amp;row=90&amp;col=8&amp;number=&amp;sourceID=48","")</f>
        <v/>
      </c>
      <c r="I90" s="4" t="str">
        <f>HYPERLINK("http://141.218.60.56/~jnz1568/getInfo.php?workbook=16_14.xlsx&amp;sheet=A0&amp;row=90&amp;col=9&amp;number=&amp;sourceID=48","")</f>
        <v/>
      </c>
      <c r="J90" s="4" t="str">
        <f>HYPERLINK("http://141.218.60.56/~jnz1568/getInfo.php?workbook=16_14.xlsx&amp;sheet=A0&amp;row=90&amp;col=10&amp;number=&amp;sourceID=49","")</f>
        <v/>
      </c>
      <c r="K90" s="4" t="str">
        <f>HYPERLINK("http://141.218.60.56/~jnz1568/getInfo.php?workbook=16_14.xlsx&amp;sheet=A0&amp;row=90&amp;col=11&amp;number=&amp;sourceID=49","")</f>
        <v/>
      </c>
    </row>
    <row r="91" spans="1:11">
      <c r="A91" s="3">
        <v>16</v>
      </c>
      <c r="B91" s="3">
        <v>14</v>
      </c>
      <c r="C91" s="3">
        <v>28</v>
      </c>
      <c r="D91" s="3">
        <v>4</v>
      </c>
      <c r="E91" s="3">
        <f>((1/(INDEX(E0!J$4:J$47,C91,1)-INDEX(E0!J$4:J$47,D91,1))))*100000000</f>
        <v>0</v>
      </c>
      <c r="F91" s="4" t="str">
        <f>HYPERLINK("http://141.218.60.56/~jnz1568/getInfo.php?workbook=16_14.xlsx&amp;sheet=A0&amp;row=91&amp;col=6&amp;number=2481000000&amp;sourceID=48","2481000000")</f>
        <v>2481000000</v>
      </c>
      <c r="G91" s="4" t="str">
        <f>HYPERLINK("http://141.218.60.56/~jnz1568/getInfo.php?workbook=16_14.xlsx&amp;sheet=A0&amp;row=91&amp;col=7&amp;number=&amp;sourceID=48","")</f>
        <v/>
      </c>
      <c r="H91" s="4" t="str">
        <f>HYPERLINK("http://141.218.60.56/~jnz1568/getInfo.php?workbook=16_14.xlsx&amp;sheet=A0&amp;row=91&amp;col=8&amp;number=&amp;sourceID=48","")</f>
        <v/>
      </c>
      <c r="I91" s="4" t="str">
        <f>HYPERLINK("http://141.218.60.56/~jnz1568/getInfo.php?workbook=16_14.xlsx&amp;sheet=A0&amp;row=91&amp;col=9&amp;number=&amp;sourceID=48","")</f>
        <v/>
      </c>
      <c r="J91" s="4" t="str">
        <f>HYPERLINK("http://141.218.60.56/~jnz1568/getInfo.php?workbook=16_14.xlsx&amp;sheet=A0&amp;row=91&amp;col=10&amp;number=&amp;sourceID=49","")</f>
        <v/>
      </c>
      <c r="K91" s="4" t="str">
        <f>HYPERLINK("http://141.218.60.56/~jnz1568/getInfo.php?workbook=16_14.xlsx&amp;sheet=A0&amp;row=91&amp;col=11&amp;number=&amp;sourceID=49","")</f>
        <v/>
      </c>
    </row>
    <row r="92" spans="1:11">
      <c r="A92" s="3">
        <v>16</v>
      </c>
      <c r="B92" s="3">
        <v>14</v>
      </c>
      <c r="C92" s="3">
        <v>28</v>
      </c>
      <c r="D92" s="3">
        <v>5</v>
      </c>
      <c r="E92" s="3">
        <f>((1/(INDEX(E0!J$4:J$47,C92,1)-INDEX(E0!J$4:J$47,D92,1))))*100000000</f>
        <v>0</v>
      </c>
      <c r="F92" s="4" t="str">
        <f>HYPERLINK("http://141.218.60.56/~jnz1568/getInfo.php?workbook=16_14.xlsx&amp;sheet=A0&amp;row=92&amp;col=6&amp;number=171080000&amp;sourceID=48","171080000")</f>
        <v>171080000</v>
      </c>
      <c r="G92" s="4" t="str">
        <f>HYPERLINK("http://141.218.60.56/~jnz1568/getInfo.php?workbook=16_14.xlsx&amp;sheet=A0&amp;row=92&amp;col=7&amp;number=&amp;sourceID=48","")</f>
        <v/>
      </c>
      <c r="H92" s="4" t="str">
        <f>HYPERLINK("http://141.218.60.56/~jnz1568/getInfo.php?workbook=16_14.xlsx&amp;sheet=A0&amp;row=92&amp;col=8&amp;number=&amp;sourceID=48","")</f>
        <v/>
      </c>
      <c r="I92" s="4" t="str">
        <f>HYPERLINK("http://141.218.60.56/~jnz1568/getInfo.php?workbook=16_14.xlsx&amp;sheet=A0&amp;row=92&amp;col=9&amp;number=&amp;sourceID=48","")</f>
        <v/>
      </c>
      <c r="J92" s="4" t="str">
        <f>HYPERLINK("http://141.218.60.56/~jnz1568/getInfo.php?workbook=16_14.xlsx&amp;sheet=A0&amp;row=92&amp;col=10&amp;number=&amp;sourceID=49","")</f>
        <v/>
      </c>
      <c r="K92" s="4" t="str">
        <f>HYPERLINK("http://141.218.60.56/~jnz1568/getInfo.php?workbook=16_14.xlsx&amp;sheet=A0&amp;row=92&amp;col=11&amp;number=&amp;sourceID=49","")</f>
        <v/>
      </c>
    </row>
    <row r="93" spans="1:11">
      <c r="A93" s="3">
        <v>16</v>
      </c>
      <c r="B93" s="3">
        <v>14</v>
      </c>
      <c r="C93" s="3">
        <v>28</v>
      </c>
      <c r="D93" s="3">
        <v>5</v>
      </c>
      <c r="E93" s="3">
        <f>((1/(INDEX(E0!J$4:J$47,C93,1)-INDEX(E0!J$4:J$47,D93,1))))*100000000</f>
        <v>0</v>
      </c>
      <c r="F93" s="4" t="str">
        <f>HYPERLINK("http://141.218.60.56/~jnz1568/getInfo.php?workbook=16_14.xlsx&amp;sheet=A0&amp;row=93&amp;col=6&amp;number=171080000&amp;sourceID=48","171080000")</f>
        <v>171080000</v>
      </c>
      <c r="G93" s="4" t="str">
        <f>HYPERLINK("http://141.218.60.56/~jnz1568/getInfo.php?workbook=16_14.xlsx&amp;sheet=A0&amp;row=93&amp;col=7&amp;number=&amp;sourceID=48","")</f>
        <v/>
      </c>
      <c r="H93" s="4" t="str">
        <f>HYPERLINK("http://141.218.60.56/~jnz1568/getInfo.php?workbook=16_14.xlsx&amp;sheet=A0&amp;row=93&amp;col=8&amp;number=&amp;sourceID=48","")</f>
        <v/>
      </c>
      <c r="I93" s="4" t="str">
        <f>HYPERLINK("http://141.218.60.56/~jnz1568/getInfo.php?workbook=16_14.xlsx&amp;sheet=A0&amp;row=93&amp;col=9&amp;number=&amp;sourceID=48","")</f>
        <v/>
      </c>
      <c r="J93" s="4" t="str">
        <f>HYPERLINK("http://141.218.60.56/~jnz1568/getInfo.php?workbook=16_14.xlsx&amp;sheet=A0&amp;row=93&amp;col=10&amp;number=&amp;sourceID=49","")</f>
        <v/>
      </c>
      <c r="K93" s="4" t="str">
        <f>HYPERLINK("http://141.218.60.56/~jnz1568/getInfo.php?workbook=16_14.xlsx&amp;sheet=A0&amp;row=93&amp;col=11&amp;number=&amp;sourceID=49","")</f>
        <v/>
      </c>
    </row>
    <row r="94" spans="1:11">
      <c r="A94" s="3">
        <v>16</v>
      </c>
      <c r="B94" s="3">
        <v>14</v>
      </c>
      <c r="C94" s="3">
        <v>29</v>
      </c>
      <c r="D94" s="3">
        <v>2</v>
      </c>
      <c r="E94" s="3">
        <f>((1/(INDEX(E0!J$4:J$47,C94,1)-INDEX(E0!J$4:J$47,D94,1))))*100000000</f>
        <v>0</v>
      </c>
      <c r="F94" s="4" t="str">
        <f>HYPERLINK("http://141.218.60.56/~jnz1568/getInfo.php?workbook=16_14.xlsx&amp;sheet=A0&amp;row=94&amp;col=6&amp;number=6101500&amp;sourceID=48","6101500")</f>
        <v>6101500</v>
      </c>
      <c r="G94" s="4" t="str">
        <f>HYPERLINK("http://141.218.60.56/~jnz1568/getInfo.php?workbook=16_14.xlsx&amp;sheet=A0&amp;row=94&amp;col=7&amp;number=&amp;sourceID=48","")</f>
        <v/>
      </c>
      <c r="H94" s="4" t="str">
        <f>HYPERLINK("http://141.218.60.56/~jnz1568/getInfo.php?workbook=16_14.xlsx&amp;sheet=A0&amp;row=94&amp;col=8&amp;number=&amp;sourceID=48","")</f>
        <v/>
      </c>
      <c r="I94" s="4" t="str">
        <f>HYPERLINK("http://141.218.60.56/~jnz1568/getInfo.php?workbook=16_14.xlsx&amp;sheet=A0&amp;row=94&amp;col=9&amp;number=&amp;sourceID=48","")</f>
        <v/>
      </c>
      <c r="J94" s="4" t="str">
        <f>HYPERLINK("http://141.218.60.56/~jnz1568/getInfo.php?workbook=16_14.xlsx&amp;sheet=A0&amp;row=94&amp;col=10&amp;number=&amp;sourceID=49","")</f>
        <v/>
      </c>
      <c r="K94" s="4" t="str">
        <f>HYPERLINK("http://141.218.60.56/~jnz1568/getInfo.php?workbook=16_14.xlsx&amp;sheet=A0&amp;row=94&amp;col=11&amp;number=&amp;sourceID=49","")</f>
        <v/>
      </c>
    </row>
    <row r="95" spans="1:11">
      <c r="A95" s="3">
        <v>16</v>
      </c>
      <c r="B95" s="3">
        <v>14</v>
      </c>
      <c r="C95" s="3">
        <v>29</v>
      </c>
      <c r="D95" s="3">
        <v>3</v>
      </c>
      <c r="E95" s="3">
        <f>((1/(INDEX(E0!J$4:J$47,C95,1)-INDEX(E0!J$4:J$47,D95,1))))*100000000</f>
        <v>0</v>
      </c>
      <c r="F95" s="4" t="str">
        <f>HYPERLINK("http://141.218.60.56/~jnz1568/getInfo.php?workbook=16_14.xlsx&amp;sheet=A0&amp;row=95&amp;col=6&amp;number=4186000&amp;sourceID=48","4186000")</f>
        <v>4186000</v>
      </c>
      <c r="G95" s="4" t="str">
        <f>HYPERLINK("http://141.218.60.56/~jnz1568/getInfo.php?workbook=16_14.xlsx&amp;sheet=A0&amp;row=95&amp;col=7&amp;number=&amp;sourceID=48","")</f>
        <v/>
      </c>
      <c r="H95" s="4" t="str">
        <f>HYPERLINK("http://141.218.60.56/~jnz1568/getInfo.php?workbook=16_14.xlsx&amp;sheet=A0&amp;row=95&amp;col=8&amp;number=&amp;sourceID=48","")</f>
        <v/>
      </c>
      <c r="I95" s="4" t="str">
        <f>HYPERLINK("http://141.218.60.56/~jnz1568/getInfo.php?workbook=16_14.xlsx&amp;sheet=A0&amp;row=95&amp;col=9&amp;number=&amp;sourceID=48","")</f>
        <v/>
      </c>
      <c r="J95" s="4" t="str">
        <f>HYPERLINK("http://141.218.60.56/~jnz1568/getInfo.php?workbook=16_14.xlsx&amp;sheet=A0&amp;row=95&amp;col=10&amp;number=&amp;sourceID=49","")</f>
        <v/>
      </c>
      <c r="K95" s="4" t="str">
        <f>HYPERLINK("http://141.218.60.56/~jnz1568/getInfo.php?workbook=16_14.xlsx&amp;sheet=A0&amp;row=95&amp;col=11&amp;number=&amp;sourceID=49","")</f>
        <v/>
      </c>
    </row>
    <row r="96" spans="1:11">
      <c r="A96" s="3">
        <v>16</v>
      </c>
      <c r="B96" s="3">
        <v>14</v>
      </c>
      <c r="C96" s="3">
        <v>29</v>
      </c>
      <c r="D96" s="3">
        <v>4</v>
      </c>
      <c r="E96" s="3">
        <f>((1/(INDEX(E0!J$4:J$47,C96,1)-INDEX(E0!J$4:J$47,D96,1))))*100000000</f>
        <v>0</v>
      </c>
      <c r="F96" s="4" t="str">
        <f>HYPERLINK("http://141.218.60.56/~jnz1568/getInfo.php?workbook=16_14.xlsx&amp;sheet=A0&amp;row=96&amp;col=6&amp;number=13474000000&amp;sourceID=48","13474000000")</f>
        <v>13474000000</v>
      </c>
      <c r="G96" s="4" t="str">
        <f>HYPERLINK("http://141.218.60.56/~jnz1568/getInfo.php?workbook=16_14.xlsx&amp;sheet=A0&amp;row=96&amp;col=7&amp;number=&amp;sourceID=48","")</f>
        <v/>
      </c>
      <c r="H96" s="4" t="str">
        <f>HYPERLINK("http://141.218.60.56/~jnz1568/getInfo.php?workbook=16_14.xlsx&amp;sheet=A0&amp;row=96&amp;col=8&amp;number=&amp;sourceID=48","")</f>
        <v/>
      </c>
      <c r="I96" s="4" t="str">
        <f>HYPERLINK("http://141.218.60.56/~jnz1568/getInfo.php?workbook=16_14.xlsx&amp;sheet=A0&amp;row=96&amp;col=9&amp;number=&amp;sourceID=48","")</f>
        <v/>
      </c>
      <c r="J96" s="4" t="str">
        <f>HYPERLINK("http://141.218.60.56/~jnz1568/getInfo.php?workbook=16_14.xlsx&amp;sheet=A0&amp;row=96&amp;col=10&amp;number=&amp;sourceID=49","")</f>
        <v/>
      </c>
      <c r="K96" s="4" t="str">
        <f>HYPERLINK("http://141.218.60.56/~jnz1568/getInfo.php?workbook=16_14.xlsx&amp;sheet=A0&amp;row=96&amp;col=11&amp;number=&amp;sourceID=49","")</f>
        <v/>
      </c>
    </row>
    <row r="97" spans="1:11">
      <c r="A97" s="3">
        <v>16</v>
      </c>
      <c r="B97" s="3">
        <v>14</v>
      </c>
      <c r="C97" s="3">
        <v>29</v>
      </c>
      <c r="D97" s="3">
        <v>4</v>
      </c>
      <c r="E97" s="3">
        <f>((1/(INDEX(E0!J$4:J$47,C97,1)-INDEX(E0!J$4:J$47,D97,1))))*100000000</f>
        <v>0</v>
      </c>
      <c r="F97" s="4" t="str">
        <f>HYPERLINK("http://141.218.60.56/~jnz1568/getInfo.php?workbook=16_14.xlsx&amp;sheet=A0&amp;row=97&amp;col=6&amp;number=13474000000&amp;sourceID=48","13474000000")</f>
        <v>13474000000</v>
      </c>
      <c r="G97" s="4" t="str">
        <f>HYPERLINK("http://141.218.60.56/~jnz1568/getInfo.php?workbook=16_14.xlsx&amp;sheet=A0&amp;row=97&amp;col=7&amp;number=&amp;sourceID=48","")</f>
        <v/>
      </c>
      <c r="H97" s="4" t="str">
        <f>HYPERLINK("http://141.218.60.56/~jnz1568/getInfo.php?workbook=16_14.xlsx&amp;sheet=A0&amp;row=97&amp;col=8&amp;number=&amp;sourceID=48","")</f>
        <v/>
      </c>
      <c r="I97" s="4" t="str">
        <f>HYPERLINK("http://141.218.60.56/~jnz1568/getInfo.php?workbook=16_14.xlsx&amp;sheet=A0&amp;row=97&amp;col=9&amp;number=&amp;sourceID=48","")</f>
        <v/>
      </c>
      <c r="J97" s="4" t="str">
        <f>HYPERLINK("http://141.218.60.56/~jnz1568/getInfo.php?workbook=16_14.xlsx&amp;sheet=A0&amp;row=97&amp;col=10&amp;number=&amp;sourceID=49","")</f>
        <v/>
      </c>
      <c r="K97" s="4" t="str">
        <f>HYPERLINK("http://141.218.60.56/~jnz1568/getInfo.php?workbook=16_14.xlsx&amp;sheet=A0&amp;row=97&amp;col=11&amp;number=&amp;sourceID=49","")</f>
        <v/>
      </c>
    </row>
    <row r="98" spans="1:11">
      <c r="A98" s="3">
        <v>16</v>
      </c>
      <c r="B98" s="3">
        <v>14</v>
      </c>
      <c r="C98" s="3">
        <v>30</v>
      </c>
      <c r="D98" s="3">
        <v>3</v>
      </c>
      <c r="E98" s="3">
        <f>((1/(INDEX(E0!J$4:J$47,C98,1)-INDEX(E0!J$4:J$47,D98,1))))*100000000</f>
        <v>0</v>
      </c>
      <c r="F98" s="4" t="str">
        <f>HYPERLINK("http://141.218.60.56/~jnz1568/getInfo.php?workbook=16_14.xlsx&amp;sheet=A0&amp;row=98&amp;col=6&amp;number=1935000&amp;sourceID=48","1935000")</f>
        <v>1935000</v>
      </c>
      <c r="G98" s="4" t="str">
        <f>HYPERLINK("http://141.218.60.56/~jnz1568/getInfo.php?workbook=16_14.xlsx&amp;sheet=A0&amp;row=98&amp;col=7&amp;number=&amp;sourceID=48","")</f>
        <v/>
      </c>
      <c r="H98" s="4" t="str">
        <f>HYPERLINK("http://141.218.60.56/~jnz1568/getInfo.php?workbook=16_14.xlsx&amp;sheet=A0&amp;row=98&amp;col=8&amp;number=&amp;sourceID=48","")</f>
        <v/>
      </c>
      <c r="I98" s="4" t="str">
        <f>HYPERLINK("http://141.218.60.56/~jnz1568/getInfo.php?workbook=16_14.xlsx&amp;sheet=A0&amp;row=98&amp;col=9&amp;number=&amp;sourceID=48","")</f>
        <v/>
      </c>
      <c r="J98" s="4" t="str">
        <f>HYPERLINK("http://141.218.60.56/~jnz1568/getInfo.php?workbook=16_14.xlsx&amp;sheet=A0&amp;row=98&amp;col=10&amp;number=&amp;sourceID=49","")</f>
        <v/>
      </c>
      <c r="K98" s="4" t="str">
        <f>HYPERLINK("http://141.218.60.56/~jnz1568/getInfo.php?workbook=16_14.xlsx&amp;sheet=A0&amp;row=98&amp;col=11&amp;number=&amp;sourceID=49","")</f>
        <v/>
      </c>
    </row>
    <row r="99" spans="1:11">
      <c r="A99" s="3">
        <v>16</v>
      </c>
      <c r="B99" s="3">
        <v>14</v>
      </c>
      <c r="C99" s="3">
        <v>30</v>
      </c>
      <c r="D99" s="3">
        <v>4</v>
      </c>
      <c r="E99" s="3">
        <f>((1/(INDEX(E0!J$4:J$47,C99,1)-INDEX(E0!J$4:J$47,D99,1))))*100000000</f>
        <v>0</v>
      </c>
      <c r="F99" s="4" t="str">
        <f>HYPERLINK("http://141.218.60.56/~jnz1568/getInfo.php?workbook=16_14.xlsx&amp;sheet=A0&amp;row=99&amp;col=6&amp;number=13922000000&amp;sourceID=48","13922000000")</f>
        <v>13922000000</v>
      </c>
      <c r="G99" s="4" t="str">
        <f>HYPERLINK("http://141.218.60.56/~jnz1568/getInfo.php?workbook=16_14.xlsx&amp;sheet=A0&amp;row=99&amp;col=7&amp;number=&amp;sourceID=48","")</f>
        <v/>
      </c>
      <c r="H99" s="4" t="str">
        <f>HYPERLINK("http://141.218.60.56/~jnz1568/getInfo.php?workbook=16_14.xlsx&amp;sheet=A0&amp;row=99&amp;col=8&amp;number=&amp;sourceID=48","")</f>
        <v/>
      </c>
      <c r="I99" s="4" t="str">
        <f>HYPERLINK("http://141.218.60.56/~jnz1568/getInfo.php?workbook=16_14.xlsx&amp;sheet=A0&amp;row=99&amp;col=9&amp;number=&amp;sourceID=48","")</f>
        <v/>
      </c>
      <c r="J99" s="4" t="str">
        <f>HYPERLINK("http://141.218.60.56/~jnz1568/getInfo.php?workbook=16_14.xlsx&amp;sheet=A0&amp;row=99&amp;col=10&amp;number=&amp;sourceID=49","")</f>
        <v/>
      </c>
      <c r="K99" s="4" t="str">
        <f>HYPERLINK("http://141.218.60.56/~jnz1568/getInfo.php?workbook=16_14.xlsx&amp;sheet=A0&amp;row=99&amp;col=11&amp;number=&amp;sourceID=49","")</f>
        <v/>
      </c>
    </row>
    <row r="100" spans="1:11">
      <c r="A100" s="3">
        <v>16</v>
      </c>
      <c r="B100" s="3">
        <v>14</v>
      </c>
      <c r="C100" s="3">
        <v>30</v>
      </c>
      <c r="D100" s="3">
        <v>4</v>
      </c>
      <c r="E100" s="3">
        <f>((1/(INDEX(E0!J$4:J$47,C100,1)-INDEX(E0!J$4:J$47,D100,1))))*100000000</f>
        <v>0</v>
      </c>
      <c r="F100" s="4" t="str">
        <f>HYPERLINK("http://141.218.60.56/~jnz1568/getInfo.php?workbook=16_14.xlsx&amp;sheet=A0&amp;row=100&amp;col=6&amp;number=13922000000&amp;sourceID=48","13922000000")</f>
        <v>13922000000</v>
      </c>
      <c r="G100" s="4" t="str">
        <f>HYPERLINK("http://141.218.60.56/~jnz1568/getInfo.php?workbook=16_14.xlsx&amp;sheet=A0&amp;row=100&amp;col=7&amp;number=&amp;sourceID=48","")</f>
        <v/>
      </c>
      <c r="H100" s="4" t="str">
        <f>HYPERLINK("http://141.218.60.56/~jnz1568/getInfo.php?workbook=16_14.xlsx&amp;sheet=A0&amp;row=100&amp;col=8&amp;number=&amp;sourceID=48","")</f>
        <v/>
      </c>
      <c r="I100" s="4" t="str">
        <f>HYPERLINK("http://141.218.60.56/~jnz1568/getInfo.php?workbook=16_14.xlsx&amp;sheet=A0&amp;row=100&amp;col=9&amp;number=&amp;sourceID=48","")</f>
        <v/>
      </c>
      <c r="J100" s="4" t="str">
        <f>HYPERLINK("http://141.218.60.56/~jnz1568/getInfo.php?workbook=16_14.xlsx&amp;sheet=A0&amp;row=100&amp;col=10&amp;number=&amp;sourceID=49","")</f>
        <v/>
      </c>
      <c r="K100" s="4" t="str">
        <f>HYPERLINK("http://141.218.60.56/~jnz1568/getInfo.php?workbook=16_14.xlsx&amp;sheet=A0&amp;row=100&amp;col=11&amp;number=&amp;sourceID=49","")</f>
        <v/>
      </c>
    </row>
    <row r="101" spans="1:11">
      <c r="A101" s="3">
        <v>16</v>
      </c>
      <c r="B101" s="3">
        <v>14</v>
      </c>
      <c r="C101" s="3">
        <v>31</v>
      </c>
      <c r="D101" s="3">
        <v>1</v>
      </c>
      <c r="E101" s="3">
        <f>((1/(INDEX(E0!J$4:J$47,C101,1)-INDEX(E0!J$4:J$47,D101,1))))*100000000</f>
        <v>0</v>
      </c>
      <c r="F101" s="4" t="str">
        <f>HYPERLINK("http://141.218.60.56/~jnz1568/getInfo.php?workbook=16_14.xlsx&amp;sheet=A0&amp;row=101&amp;col=6&amp;number=789990&amp;sourceID=48","789990")</f>
        <v>789990</v>
      </c>
      <c r="G101" s="4" t="str">
        <f>HYPERLINK("http://141.218.60.56/~jnz1568/getInfo.php?workbook=16_14.xlsx&amp;sheet=A0&amp;row=101&amp;col=7&amp;number=&amp;sourceID=48","")</f>
        <v/>
      </c>
      <c r="H101" s="4" t="str">
        <f>HYPERLINK("http://141.218.60.56/~jnz1568/getInfo.php?workbook=16_14.xlsx&amp;sheet=A0&amp;row=101&amp;col=8&amp;number=&amp;sourceID=48","")</f>
        <v/>
      </c>
      <c r="I101" s="4" t="str">
        <f>HYPERLINK("http://141.218.60.56/~jnz1568/getInfo.php?workbook=16_14.xlsx&amp;sheet=A0&amp;row=101&amp;col=9&amp;number=&amp;sourceID=48","")</f>
        <v/>
      </c>
      <c r="J101" s="4" t="str">
        <f>HYPERLINK("http://141.218.60.56/~jnz1568/getInfo.php?workbook=16_14.xlsx&amp;sheet=A0&amp;row=101&amp;col=10&amp;number=&amp;sourceID=49","")</f>
        <v/>
      </c>
      <c r="K101" s="4" t="str">
        <f>HYPERLINK("http://141.218.60.56/~jnz1568/getInfo.php?workbook=16_14.xlsx&amp;sheet=A0&amp;row=101&amp;col=11&amp;number=&amp;sourceID=49","")</f>
        <v/>
      </c>
    </row>
    <row r="102" spans="1:11">
      <c r="A102" s="3">
        <v>16</v>
      </c>
      <c r="B102" s="3">
        <v>14</v>
      </c>
      <c r="C102" s="3">
        <v>31</v>
      </c>
      <c r="D102" s="3">
        <v>2</v>
      </c>
      <c r="E102" s="3">
        <f>((1/(INDEX(E0!J$4:J$47,C102,1)-INDEX(E0!J$4:J$47,D102,1))))*100000000</f>
        <v>0</v>
      </c>
      <c r="F102" s="4" t="str">
        <f>HYPERLINK("http://141.218.60.56/~jnz1568/getInfo.php?workbook=16_14.xlsx&amp;sheet=A0&amp;row=102&amp;col=6&amp;number=1696300&amp;sourceID=48","1696300")</f>
        <v>1696300</v>
      </c>
      <c r="G102" s="4" t="str">
        <f>HYPERLINK("http://141.218.60.56/~jnz1568/getInfo.php?workbook=16_14.xlsx&amp;sheet=A0&amp;row=102&amp;col=7&amp;number=&amp;sourceID=48","")</f>
        <v/>
      </c>
      <c r="H102" s="4" t="str">
        <f>HYPERLINK("http://141.218.60.56/~jnz1568/getInfo.php?workbook=16_14.xlsx&amp;sheet=A0&amp;row=102&amp;col=8&amp;number=&amp;sourceID=48","")</f>
        <v/>
      </c>
      <c r="I102" s="4" t="str">
        <f>HYPERLINK("http://141.218.60.56/~jnz1568/getInfo.php?workbook=16_14.xlsx&amp;sheet=A0&amp;row=102&amp;col=9&amp;number=&amp;sourceID=48","")</f>
        <v/>
      </c>
      <c r="J102" s="4" t="str">
        <f>HYPERLINK("http://141.218.60.56/~jnz1568/getInfo.php?workbook=16_14.xlsx&amp;sheet=A0&amp;row=102&amp;col=10&amp;number=&amp;sourceID=49","")</f>
        <v/>
      </c>
      <c r="K102" s="4" t="str">
        <f>HYPERLINK("http://141.218.60.56/~jnz1568/getInfo.php?workbook=16_14.xlsx&amp;sheet=A0&amp;row=102&amp;col=11&amp;number=&amp;sourceID=49","")</f>
        <v/>
      </c>
    </row>
    <row r="103" spans="1:11">
      <c r="A103" s="3">
        <v>16</v>
      </c>
      <c r="B103" s="3">
        <v>14</v>
      </c>
      <c r="C103" s="3">
        <v>31</v>
      </c>
      <c r="D103" s="3">
        <v>3</v>
      </c>
      <c r="E103" s="3">
        <f>((1/(INDEX(E0!J$4:J$47,C103,1)-INDEX(E0!J$4:J$47,D103,1))))*100000000</f>
        <v>0</v>
      </c>
      <c r="F103" s="4" t="str">
        <f>HYPERLINK("http://141.218.60.56/~jnz1568/getInfo.php?workbook=16_14.xlsx&amp;sheet=A0&amp;row=103&amp;col=6&amp;number=864880&amp;sourceID=48","864880")</f>
        <v>864880</v>
      </c>
      <c r="G103" s="4" t="str">
        <f>HYPERLINK("http://141.218.60.56/~jnz1568/getInfo.php?workbook=16_14.xlsx&amp;sheet=A0&amp;row=103&amp;col=7&amp;number=&amp;sourceID=48","")</f>
        <v/>
      </c>
      <c r="H103" s="4" t="str">
        <f>HYPERLINK("http://141.218.60.56/~jnz1568/getInfo.php?workbook=16_14.xlsx&amp;sheet=A0&amp;row=103&amp;col=8&amp;number=&amp;sourceID=48","")</f>
        <v/>
      </c>
      <c r="I103" s="4" t="str">
        <f>HYPERLINK("http://141.218.60.56/~jnz1568/getInfo.php?workbook=16_14.xlsx&amp;sheet=A0&amp;row=103&amp;col=9&amp;number=&amp;sourceID=48","")</f>
        <v/>
      </c>
      <c r="J103" s="4" t="str">
        <f>HYPERLINK("http://141.218.60.56/~jnz1568/getInfo.php?workbook=16_14.xlsx&amp;sheet=A0&amp;row=103&amp;col=10&amp;number=&amp;sourceID=49","")</f>
        <v/>
      </c>
      <c r="K103" s="4" t="str">
        <f>HYPERLINK("http://141.218.60.56/~jnz1568/getInfo.php?workbook=16_14.xlsx&amp;sheet=A0&amp;row=103&amp;col=11&amp;number=&amp;sourceID=49","")</f>
        <v/>
      </c>
    </row>
    <row r="104" spans="1:11">
      <c r="A104" s="3">
        <v>16</v>
      </c>
      <c r="B104" s="3">
        <v>14</v>
      </c>
      <c r="C104" s="3">
        <v>31</v>
      </c>
      <c r="D104" s="3">
        <v>4</v>
      </c>
      <c r="E104" s="3">
        <f>((1/(INDEX(E0!J$4:J$47,C104,1)-INDEX(E0!J$4:J$47,D104,1))))*100000000</f>
        <v>0</v>
      </c>
      <c r="F104" s="4" t="str">
        <f>HYPERLINK("http://141.218.60.56/~jnz1568/getInfo.php?workbook=16_14.xlsx&amp;sheet=A0&amp;row=104&amp;col=6&amp;number=469500000&amp;sourceID=48","469500000")</f>
        <v>469500000</v>
      </c>
      <c r="G104" s="4" t="str">
        <f>HYPERLINK("http://141.218.60.56/~jnz1568/getInfo.php?workbook=16_14.xlsx&amp;sheet=A0&amp;row=104&amp;col=7&amp;number=&amp;sourceID=48","")</f>
        <v/>
      </c>
      <c r="H104" s="4" t="str">
        <f>HYPERLINK("http://141.218.60.56/~jnz1568/getInfo.php?workbook=16_14.xlsx&amp;sheet=A0&amp;row=104&amp;col=8&amp;number=&amp;sourceID=48","")</f>
        <v/>
      </c>
      <c r="I104" s="4" t="str">
        <f>HYPERLINK("http://141.218.60.56/~jnz1568/getInfo.php?workbook=16_14.xlsx&amp;sheet=A0&amp;row=104&amp;col=9&amp;number=&amp;sourceID=48","")</f>
        <v/>
      </c>
      <c r="J104" s="4" t="str">
        <f>HYPERLINK("http://141.218.60.56/~jnz1568/getInfo.php?workbook=16_14.xlsx&amp;sheet=A0&amp;row=104&amp;col=10&amp;number=&amp;sourceID=49","")</f>
        <v/>
      </c>
      <c r="K104" s="4" t="str">
        <f>HYPERLINK("http://141.218.60.56/~jnz1568/getInfo.php?workbook=16_14.xlsx&amp;sheet=A0&amp;row=104&amp;col=11&amp;number=&amp;sourceID=49","")</f>
        <v/>
      </c>
    </row>
    <row r="105" spans="1:11">
      <c r="A105" s="3">
        <v>16</v>
      </c>
      <c r="B105" s="3">
        <v>14</v>
      </c>
      <c r="C105" s="3">
        <v>31</v>
      </c>
      <c r="D105" s="3">
        <v>4</v>
      </c>
      <c r="E105" s="3">
        <f>((1/(INDEX(E0!J$4:J$47,C105,1)-INDEX(E0!J$4:J$47,D105,1))))*100000000</f>
        <v>0</v>
      </c>
      <c r="F105" s="4" t="str">
        <f>HYPERLINK("http://141.218.60.56/~jnz1568/getInfo.php?workbook=16_14.xlsx&amp;sheet=A0&amp;row=105&amp;col=6&amp;number=469500000&amp;sourceID=48","469500000")</f>
        <v>469500000</v>
      </c>
      <c r="G105" s="4" t="str">
        <f>HYPERLINK("http://141.218.60.56/~jnz1568/getInfo.php?workbook=16_14.xlsx&amp;sheet=A0&amp;row=105&amp;col=7&amp;number=&amp;sourceID=48","")</f>
        <v/>
      </c>
      <c r="H105" s="4" t="str">
        <f>HYPERLINK("http://141.218.60.56/~jnz1568/getInfo.php?workbook=16_14.xlsx&amp;sheet=A0&amp;row=105&amp;col=8&amp;number=&amp;sourceID=48","")</f>
        <v/>
      </c>
      <c r="I105" s="4" t="str">
        <f>HYPERLINK("http://141.218.60.56/~jnz1568/getInfo.php?workbook=16_14.xlsx&amp;sheet=A0&amp;row=105&amp;col=9&amp;number=&amp;sourceID=48","")</f>
        <v/>
      </c>
      <c r="J105" s="4" t="str">
        <f>HYPERLINK("http://141.218.60.56/~jnz1568/getInfo.php?workbook=16_14.xlsx&amp;sheet=A0&amp;row=105&amp;col=10&amp;number=&amp;sourceID=49","")</f>
        <v/>
      </c>
      <c r="K105" s="4" t="str">
        <f>HYPERLINK("http://141.218.60.56/~jnz1568/getInfo.php?workbook=16_14.xlsx&amp;sheet=A0&amp;row=105&amp;col=11&amp;number=&amp;sourceID=49","")</f>
        <v/>
      </c>
    </row>
    <row r="106" spans="1:11">
      <c r="A106" s="3">
        <v>16</v>
      </c>
      <c r="B106" s="3">
        <v>14</v>
      </c>
      <c r="C106" s="3">
        <v>31</v>
      </c>
      <c r="D106" s="3">
        <v>5</v>
      </c>
      <c r="E106" s="3">
        <f>((1/(INDEX(E0!J$4:J$47,C106,1)-INDEX(E0!J$4:J$47,D106,1))))*100000000</f>
        <v>0</v>
      </c>
      <c r="F106" s="4" t="str">
        <f>HYPERLINK("http://141.218.60.56/~jnz1568/getInfo.php?workbook=16_14.xlsx&amp;sheet=A0&amp;row=106&amp;col=6&amp;number=11782000000&amp;sourceID=48","11782000000")</f>
        <v>11782000000</v>
      </c>
      <c r="G106" s="4" t="str">
        <f>HYPERLINK("http://141.218.60.56/~jnz1568/getInfo.php?workbook=16_14.xlsx&amp;sheet=A0&amp;row=106&amp;col=7&amp;number=&amp;sourceID=48","")</f>
        <v/>
      </c>
      <c r="H106" s="4" t="str">
        <f>HYPERLINK("http://141.218.60.56/~jnz1568/getInfo.php?workbook=16_14.xlsx&amp;sheet=A0&amp;row=106&amp;col=8&amp;number=&amp;sourceID=48","")</f>
        <v/>
      </c>
      <c r="I106" s="4" t="str">
        <f>HYPERLINK("http://141.218.60.56/~jnz1568/getInfo.php?workbook=16_14.xlsx&amp;sheet=A0&amp;row=106&amp;col=9&amp;number=&amp;sourceID=48","")</f>
        <v/>
      </c>
      <c r="J106" s="4" t="str">
        <f>HYPERLINK("http://141.218.60.56/~jnz1568/getInfo.php?workbook=16_14.xlsx&amp;sheet=A0&amp;row=106&amp;col=10&amp;number=&amp;sourceID=49","")</f>
        <v/>
      </c>
      <c r="K106" s="4" t="str">
        <f>HYPERLINK("http://141.218.60.56/~jnz1568/getInfo.php?workbook=16_14.xlsx&amp;sheet=A0&amp;row=106&amp;col=11&amp;number=&amp;sourceID=49","")</f>
        <v/>
      </c>
    </row>
    <row r="107" spans="1:11">
      <c r="A107" s="3">
        <v>16</v>
      </c>
      <c r="B107" s="3">
        <v>14</v>
      </c>
      <c r="C107" s="3">
        <v>31</v>
      </c>
      <c r="D107" s="3">
        <v>5</v>
      </c>
      <c r="E107" s="3">
        <f>((1/(INDEX(E0!J$4:J$47,C107,1)-INDEX(E0!J$4:J$47,D107,1))))*100000000</f>
        <v>0</v>
      </c>
      <c r="F107" s="4" t="str">
        <f>HYPERLINK("http://141.218.60.56/~jnz1568/getInfo.php?workbook=16_14.xlsx&amp;sheet=A0&amp;row=107&amp;col=6&amp;number=11782000000&amp;sourceID=48","11782000000")</f>
        <v>11782000000</v>
      </c>
      <c r="G107" s="4" t="str">
        <f>HYPERLINK("http://141.218.60.56/~jnz1568/getInfo.php?workbook=16_14.xlsx&amp;sheet=A0&amp;row=107&amp;col=7&amp;number=&amp;sourceID=48","")</f>
        <v/>
      </c>
      <c r="H107" s="4" t="str">
        <f>HYPERLINK("http://141.218.60.56/~jnz1568/getInfo.php?workbook=16_14.xlsx&amp;sheet=A0&amp;row=107&amp;col=8&amp;number=&amp;sourceID=48","")</f>
        <v/>
      </c>
      <c r="I107" s="4" t="str">
        <f>HYPERLINK("http://141.218.60.56/~jnz1568/getInfo.php?workbook=16_14.xlsx&amp;sheet=A0&amp;row=107&amp;col=9&amp;number=&amp;sourceID=48","")</f>
        <v/>
      </c>
      <c r="J107" s="4" t="str">
        <f>HYPERLINK("http://141.218.60.56/~jnz1568/getInfo.php?workbook=16_14.xlsx&amp;sheet=A0&amp;row=107&amp;col=10&amp;number=&amp;sourceID=49","")</f>
        <v/>
      </c>
      <c r="K107" s="4" t="str">
        <f>HYPERLINK("http://141.218.60.56/~jnz1568/getInfo.php?workbook=16_14.xlsx&amp;sheet=A0&amp;row=107&amp;col=11&amp;number=&amp;sourceID=49","")</f>
        <v/>
      </c>
    </row>
    <row r="108" spans="1:11">
      <c r="A108" s="3">
        <v>16</v>
      </c>
      <c r="B108" s="3">
        <v>14</v>
      </c>
      <c r="C108" s="3">
        <v>32</v>
      </c>
      <c r="D108" s="3">
        <v>6</v>
      </c>
      <c r="E108" s="3">
        <f>((1/(INDEX(E0!J$4:J$47,C108,1)-INDEX(E0!J$4:J$47,D108,1))))*100000000</f>
        <v>0</v>
      </c>
      <c r="F108" s="4" t="str">
        <f>HYPERLINK("http://141.218.60.56/~jnz1568/getInfo.php?workbook=16_14.xlsx&amp;sheet=A0&amp;row=108&amp;col=6&amp;number=46.59&amp;sourceID=48","46.59")</f>
        <v>46.59</v>
      </c>
      <c r="G108" s="4" t="str">
        <f>HYPERLINK("http://141.218.60.56/~jnz1568/getInfo.php?workbook=16_14.xlsx&amp;sheet=A0&amp;row=108&amp;col=7&amp;number=&amp;sourceID=48","")</f>
        <v/>
      </c>
      <c r="H108" s="4" t="str">
        <f>HYPERLINK("http://141.218.60.56/~jnz1568/getInfo.php?workbook=16_14.xlsx&amp;sheet=A0&amp;row=108&amp;col=8&amp;number=&amp;sourceID=48","")</f>
        <v/>
      </c>
      <c r="I108" s="4" t="str">
        <f>HYPERLINK("http://141.218.60.56/~jnz1568/getInfo.php?workbook=16_14.xlsx&amp;sheet=A0&amp;row=108&amp;col=9&amp;number=&amp;sourceID=48","")</f>
        <v/>
      </c>
      <c r="J108" s="4" t="str">
        <f>HYPERLINK("http://141.218.60.56/~jnz1568/getInfo.php?workbook=16_14.xlsx&amp;sheet=A0&amp;row=108&amp;col=10&amp;number=&amp;sourceID=49","")</f>
        <v/>
      </c>
      <c r="K108" s="4" t="str">
        <f>HYPERLINK("http://141.218.60.56/~jnz1568/getInfo.php?workbook=16_14.xlsx&amp;sheet=A0&amp;row=108&amp;col=11&amp;number=&amp;sourceID=49","")</f>
        <v/>
      </c>
    </row>
    <row r="109" spans="1:11">
      <c r="A109" s="3">
        <v>16</v>
      </c>
      <c r="B109" s="3">
        <v>14</v>
      </c>
      <c r="C109" s="3">
        <v>32</v>
      </c>
      <c r="D109" s="3">
        <v>7</v>
      </c>
      <c r="E109" s="3">
        <f>((1/(INDEX(E0!J$4:J$47,C109,1)-INDEX(E0!J$4:J$47,D109,1))))*100000000</f>
        <v>0</v>
      </c>
      <c r="F109" s="4" t="str">
        <f>HYPERLINK("http://141.218.60.56/~jnz1568/getInfo.php?workbook=16_14.xlsx&amp;sheet=A0&amp;row=109&amp;col=6&amp;number=884790&amp;sourceID=48","884790")</f>
        <v>884790</v>
      </c>
      <c r="G109" s="4" t="str">
        <f>HYPERLINK("http://141.218.60.56/~jnz1568/getInfo.php?workbook=16_14.xlsx&amp;sheet=A0&amp;row=109&amp;col=7&amp;number=&amp;sourceID=48","")</f>
        <v/>
      </c>
      <c r="H109" s="4" t="str">
        <f>HYPERLINK("http://141.218.60.56/~jnz1568/getInfo.php?workbook=16_14.xlsx&amp;sheet=A0&amp;row=109&amp;col=8&amp;number=&amp;sourceID=48","")</f>
        <v/>
      </c>
      <c r="I109" s="4" t="str">
        <f>HYPERLINK("http://141.218.60.56/~jnz1568/getInfo.php?workbook=16_14.xlsx&amp;sheet=A0&amp;row=109&amp;col=9&amp;number=&amp;sourceID=48","")</f>
        <v/>
      </c>
      <c r="J109" s="4" t="str">
        <f>HYPERLINK("http://141.218.60.56/~jnz1568/getInfo.php?workbook=16_14.xlsx&amp;sheet=A0&amp;row=109&amp;col=10&amp;number=&amp;sourceID=49","")</f>
        <v/>
      </c>
      <c r="K109" s="4" t="str">
        <f>HYPERLINK("http://141.218.60.56/~jnz1568/getInfo.php?workbook=16_14.xlsx&amp;sheet=A0&amp;row=109&amp;col=11&amp;number=&amp;sourceID=49","")</f>
        <v/>
      </c>
    </row>
    <row r="110" spans="1:11">
      <c r="A110" s="3">
        <v>16</v>
      </c>
      <c r="B110" s="3">
        <v>14</v>
      </c>
      <c r="C110" s="3">
        <v>32</v>
      </c>
      <c r="D110" s="3">
        <v>8</v>
      </c>
      <c r="E110" s="3">
        <f>((1/(INDEX(E0!J$4:J$47,C110,1)-INDEX(E0!J$4:J$47,D110,1))))*100000000</f>
        <v>0</v>
      </c>
      <c r="F110" s="4" t="str">
        <f>HYPERLINK("http://141.218.60.56/~jnz1568/getInfo.php?workbook=16_14.xlsx&amp;sheet=A0&amp;row=110&amp;col=6&amp;number=1686.2&amp;sourceID=48","1686.2")</f>
        <v>1686.2</v>
      </c>
      <c r="G110" s="4" t="str">
        <f>HYPERLINK("http://141.218.60.56/~jnz1568/getInfo.php?workbook=16_14.xlsx&amp;sheet=A0&amp;row=110&amp;col=7&amp;number=&amp;sourceID=48","")</f>
        <v/>
      </c>
      <c r="H110" s="4" t="str">
        <f>HYPERLINK("http://141.218.60.56/~jnz1568/getInfo.php?workbook=16_14.xlsx&amp;sheet=A0&amp;row=110&amp;col=8&amp;number=&amp;sourceID=48","")</f>
        <v/>
      </c>
      <c r="I110" s="4" t="str">
        <f>HYPERLINK("http://141.218.60.56/~jnz1568/getInfo.php?workbook=16_14.xlsx&amp;sheet=A0&amp;row=110&amp;col=9&amp;number=&amp;sourceID=48","")</f>
        <v/>
      </c>
      <c r="J110" s="4" t="str">
        <f>HYPERLINK("http://141.218.60.56/~jnz1568/getInfo.php?workbook=16_14.xlsx&amp;sheet=A0&amp;row=110&amp;col=10&amp;number=&amp;sourceID=49","")</f>
        <v/>
      </c>
      <c r="K110" s="4" t="str">
        <f>HYPERLINK("http://141.218.60.56/~jnz1568/getInfo.php?workbook=16_14.xlsx&amp;sheet=A0&amp;row=110&amp;col=11&amp;number=&amp;sourceID=49","")</f>
        <v/>
      </c>
    </row>
    <row r="111" spans="1:11">
      <c r="A111" s="3">
        <v>16</v>
      </c>
      <c r="B111" s="3">
        <v>14</v>
      </c>
      <c r="C111" s="3">
        <v>32</v>
      </c>
      <c r="D111" s="3">
        <v>10</v>
      </c>
      <c r="E111" s="3">
        <f>((1/(INDEX(E0!J$4:J$47,C111,1)-INDEX(E0!J$4:J$47,D111,1))))*100000000</f>
        <v>0</v>
      </c>
      <c r="F111" s="4" t="str">
        <f>HYPERLINK("http://141.218.60.56/~jnz1568/getInfo.php?workbook=16_14.xlsx&amp;sheet=A0&amp;row=111&amp;col=6&amp;number=2133800&amp;sourceID=48","2133800")</f>
        <v>2133800</v>
      </c>
      <c r="G111" s="4" t="str">
        <f>HYPERLINK("http://141.218.60.56/~jnz1568/getInfo.php?workbook=16_14.xlsx&amp;sheet=A0&amp;row=111&amp;col=7&amp;number=&amp;sourceID=48","")</f>
        <v/>
      </c>
      <c r="H111" s="4" t="str">
        <f>HYPERLINK("http://141.218.60.56/~jnz1568/getInfo.php?workbook=16_14.xlsx&amp;sheet=A0&amp;row=111&amp;col=8&amp;number=&amp;sourceID=48","")</f>
        <v/>
      </c>
      <c r="I111" s="4" t="str">
        <f>HYPERLINK("http://141.218.60.56/~jnz1568/getInfo.php?workbook=16_14.xlsx&amp;sheet=A0&amp;row=111&amp;col=9&amp;number=&amp;sourceID=48","")</f>
        <v/>
      </c>
      <c r="J111" s="4" t="str">
        <f>HYPERLINK("http://141.218.60.56/~jnz1568/getInfo.php?workbook=16_14.xlsx&amp;sheet=A0&amp;row=111&amp;col=10&amp;number=&amp;sourceID=49","")</f>
        <v/>
      </c>
      <c r="K111" s="4" t="str">
        <f>HYPERLINK("http://141.218.60.56/~jnz1568/getInfo.php?workbook=16_14.xlsx&amp;sheet=A0&amp;row=111&amp;col=11&amp;number=&amp;sourceID=49","")</f>
        <v/>
      </c>
    </row>
    <row r="112" spans="1:11">
      <c r="A112" s="3">
        <v>16</v>
      </c>
      <c r="B112" s="3">
        <v>14</v>
      </c>
      <c r="C112" s="3">
        <v>32</v>
      </c>
      <c r="D112" s="3">
        <v>11</v>
      </c>
      <c r="E112" s="3">
        <f>((1/(INDEX(E0!J$4:J$47,C112,1)-INDEX(E0!J$4:J$47,D112,1))))*100000000</f>
        <v>0</v>
      </c>
      <c r="F112" s="4" t="str">
        <f>HYPERLINK("http://141.218.60.56/~jnz1568/getInfo.php?workbook=16_14.xlsx&amp;sheet=A0&amp;row=112&amp;col=6&amp;number=297870&amp;sourceID=48","297870")</f>
        <v>297870</v>
      </c>
      <c r="G112" s="4" t="str">
        <f>HYPERLINK("http://141.218.60.56/~jnz1568/getInfo.php?workbook=16_14.xlsx&amp;sheet=A0&amp;row=112&amp;col=7&amp;number=&amp;sourceID=48","")</f>
        <v/>
      </c>
      <c r="H112" s="4" t="str">
        <f>HYPERLINK("http://141.218.60.56/~jnz1568/getInfo.php?workbook=16_14.xlsx&amp;sheet=A0&amp;row=112&amp;col=8&amp;number=&amp;sourceID=48","")</f>
        <v/>
      </c>
      <c r="I112" s="4" t="str">
        <f>HYPERLINK("http://141.218.60.56/~jnz1568/getInfo.php?workbook=16_14.xlsx&amp;sheet=A0&amp;row=112&amp;col=9&amp;number=&amp;sourceID=48","")</f>
        <v/>
      </c>
      <c r="J112" s="4" t="str">
        <f>HYPERLINK("http://141.218.60.56/~jnz1568/getInfo.php?workbook=16_14.xlsx&amp;sheet=A0&amp;row=112&amp;col=10&amp;number=&amp;sourceID=49","")</f>
        <v/>
      </c>
      <c r="K112" s="4" t="str">
        <f>HYPERLINK("http://141.218.60.56/~jnz1568/getInfo.php?workbook=16_14.xlsx&amp;sheet=A0&amp;row=112&amp;col=11&amp;number=&amp;sourceID=49","")</f>
        <v/>
      </c>
    </row>
    <row r="113" spans="1:11">
      <c r="A113" s="3">
        <v>16</v>
      </c>
      <c r="B113" s="3">
        <v>14</v>
      </c>
      <c r="C113" s="3">
        <v>32</v>
      </c>
      <c r="D113" s="3">
        <v>12</v>
      </c>
      <c r="E113" s="3">
        <f>((1/(INDEX(E0!J$4:J$47,C113,1)-INDEX(E0!J$4:J$47,D113,1))))*100000000</f>
        <v>0</v>
      </c>
      <c r="F113" s="4" t="str">
        <f>HYPERLINK("http://141.218.60.56/~jnz1568/getInfo.php?workbook=16_14.xlsx&amp;sheet=A0&amp;row=113&amp;col=6&amp;number=18790&amp;sourceID=48","18790")</f>
        <v>18790</v>
      </c>
      <c r="G113" s="4" t="str">
        <f>HYPERLINK("http://141.218.60.56/~jnz1568/getInfo.php?workbook=16_14.xlsx&amp;sheet=A0&amp;row=113&amp;col=7&amp;number=&amp;sourceID=48","")</f>
        <v/>
      </c>
      <c r="H113" s="4" t="str">
        <f>HYPERLINK("http://141.218.60.56/~jnz1568/getInfo.php?workbook=16_14.xlsx&amp;sheet=A0&amp;row=113&amp;col=8&amp;number=&amp;sourceID=48","")</f>
        <v/>
      </c>
      <c r="I113" s="4" t="str">
        <f>HYPERLINK("http://141.218.60.56/~jnz1568/getInfo.php?workbook=16_14.xlsx&amp;sheet=A0&amp;row=113&amp;col=9&amp;number=&amp;sourceID=48","")</f>
        <v/>
      </c>
      <c r="J113" s="4" t="str">
        <f>HYPERLINK("http://141.218.60.56/~jnz1568/getInfo.php?workbook=16_14.xlsx&amp;sheet=A0&amp;row=113&amp;col=10&amp;number=&amp;sourceID=49","")</f>
        <v/>
      </c>
      <c r="K113" s="4" t="str">
        <f>HYPERLINK("http://141.218.60.56/~jnz1568/getInfo.php?workbook=16_14.xlsx&amp;sheet=A0&amp;row=113&amp;col=11&amp;number=&amp;sourceID=49","")</f>
        <v/>
      </c>
    </row>
    <row r="114" spans="1:11">
      <c r="A114" s="3">
        <v>16</v>
      </c>
      <c r="B114" s="3">
        <v>14</v>
      </c>
      <c r="C114" s="3">
        <v>32</v>
      </c>
      <c r="D114" s="3">
        <v>13</v>
      </c>
      <c r="E114" s="3">
        <f>((1/(INDEX(E0!J$4:J$47,C114,1)-INDEX(E0!J$4:J$47,D114,1))))*100000000</f>
        <v>0</v>
      </c>
      <c r="F114" s="4" t="str">
        <f>HYPERLINK("http://141.218.60.56/~jnz1568/getInfo.php?workbook=16_14.xlsx&amp;sheet=A0&amp;row=114&amp;col=6&amp;number=314400000&amp;sourceID=48","314400000")</f>
        <v>314400000</v>
      </c>
      <c r="G114" s="4" t="str">
        <f>HYPERLINK("http://141.218.60.56/~jnz1568/getInfo.php?workbook=16_14.xlsx&amp;sheet=A0&amp;row=114&amp;col=7&amp;number=&amp;sourceID=48","")</f>
        <v/>
      </c>
      <c r="H114" s="4" t="str">
        <f>HYPERLINK("http://141.218.60.56/~jnz1568/getInfo.php?workbook=16_14.xlsx&amp;sheet=A0&amp;row=114&amp;col=8&amp;number=&amp;sourceID=48","")</f>
        <v/>
      </c>
      <c r="I114" s="4" t="str">
        <f>HYPERLINK("http://141.218.60.56/~jnz1568/getInfo.php?workbook=16_14.xlsx&amp;sheet=A0&amp;row=114&amp;col=9&amp;number=&amp;sourceID=48","")</f>
        <v/>
      </c>
      <c r="J114" s="4" t="str">
        <f>HYPERLINK("http://141.218.60.56/~jnz1568/getInfo.php?workbook=16_14.xlsx&amp;sheet=A0&amp;row=114&amp;col=10&amp;number=&amp;sourceID=49","")</f>
        <v/>
      </c>
      <c r="K114" s="4" t="str">
        <f>HYPERLINK("http://141.218.60.56/~jnz1568/getInfo.php?workbook=16_14.xlsx&amp;sheet=A0&amp;row=114&amp;col=11&amp;number=&amp;sourceID=49","")</f>
        <v/>
      </c>
    </row>
    <row r="115" spans="1:11">
      <c r="A115" s="3">
        <v>16</v>
      </c>
      <c r="B115" s="3">
        <v>14</v>
      </c>
      <c r="C115" s="3">
        <v>32</v>
      </c>
      <c r="D115" s="3">
        <v>13</v>
      </c>
      <c r="E115" s="3">
        <f>((1/(INDEX(E0!J$4:J$47,C115,1)-INDEX(E0!J$4:J$47,D115,1))))*100000000</f>
        <v>0</v>
      </c>
      <c r="F115" s="4" t="str">
        <f>HYPERLINK("http://141.218.60.56/~jnz1568/getInfo.php?workbook=16_14.xlsx&amp;sheet=A0&amp;row=115&amp;col=6&amp;number=314400000&amp;sourceID=48","314400000")</f>
        <v>314400000</v>
      </c>
      <c r="G115" s="4" t="str">
        <f>HYPERLINK("http://141.218.60.56/~jnz1568/getInfo.php?workbook=16_14.xlsx&amp;sheet=A0&amp;row=115&amp;col=7&amp;number=&amp;sourceID=48","")</f>
        <v/>
      </c>
      <c r="H115" s="4" t="str">
        <f>HYPERLINK("http://141.218.60.56/~jnz1568/getInfo.php?workbook=16_14.xlsx&amp;sheet=A0&amp;row=115&amp;col=8&amp;number=&amp;sourceID=48","")</f>
        <v/>
      </c>
      <c r="I115" s="4" t="str">
        <f>HYPERLINK("http://141.218.60.56/~jnz1568/getInfo.php?workbook=16_14.xlsx&amp;sheet=A0&amp;row=115&amp;col=9&amp;number=&amp;sourceID=48","")</f>
        <v/>
      </c>
      <c r="J115" s="4" t="str">
        <f>HYPERLINK("http://141.218.60.56/~jnz1568/getInfo.php?workbook=16_14.xlsx&amp;sheet=A0&amp;row=115&amp;col=10&amp;number=&amp;sourceID=49","")</f>
        <v/>
      </c>
      <c r="K115" s="4" t="str">
        <f>HYPERLINK("http://141.218.60.56/~jnz1568/getInfo.php?workbook=16_14.xlsx&amp;sheet=A0&amp;row=115&amp;col=11&amp;number=&amp;sourceID=49","")</f>
        <v/>
      </c>
    </row>
    <row r="116" spans="1:11">
      <c r="A116" s="3">
        <v>16</v>
      </c>
      <c r="B116" s="3">
        <v>14</v>
      </c>
      <c r="C116" s="3">
        <v>32</v>
      </c>
      <c r="D116" s="3">
        <v>14</v>
      </c>
      <c r="E116" s="3">
        <f>((1/(INDEX(E0!J$4:J$47,C116,1)-INDEX(E0!J$4:J$47,D116,1))))*100000000</f>
        <v>0</v>
      </c>
      <c r="F116" s="4" t="str">
        <f>HYPERLINK("http://141.218.60.56/~jnz1568/getInfo.php?workbook=16_14.xlsx&amp;sheet=A0&amp;row=116&amp;col=6&amp;number=4464900&amp;sourceID=48","4464900")</f>
        <v>4464900</v>
      </c>
      <c r="G116" s="4" t="str">
        <f>HYPERLINK("http://141.218.60.56/~jnz1568/getInfo.php?workbook=16_14.xlsx&amp;sheet=A0&amp;row=116&amp;col=7&amp;number=&amp;sourceID=48","")</f>
        <v/>
      </c>
      <c r="H116" s="4" t="str">
        <f>HYPERLINK("http://141.218.60.56/~jnz1568/getInfo.php?workbook=16_14.xlsx&amp;sheet=A0&amp;row=116&amp;col=8&amp;number=&amp;sourceID=48","")</f>
        <v/>
      </c>
      <c r="I116" s="4" t="str">
        <f>HYPERLINK("http://141.218.60.56/~jnz1568/getInfo.php?workbook=16_14.xlsx&amp;sheet=A0&amp;row=116&amp;col=9&amp;number=&amp;sourceID=48","")</f>
        <v/>
      </c>
      <c r="J116" s="4" t="str">
        <f>HYPERLINK("http://141.218.60.56/~jnz1568/getInfo.php?workbook=16_14.xlsx&amp;sheet=A0&amp;row=116&amp;col=10&amp;number=&amp;sourceID=49","")</f>
        <v/>
      </c>
      <c r="K116" s="4" t="str">
        <f>HYPERLINK("http://141.218.60.56/~jnz1568/getInfo.php?workbook=16_14.xlsx&amp;sheet=A0&amp;row=116&amp;col=11&amp;number=&amp;sourceID=49","")</f>
        <v/>
      </c>
    </row>
    <row r="117" spans="1:11">
      <c r="A117" s="3">
        <v>16</v>
      </c>
      <c r="B117" s="3">
        <v>14</v>
      </c>
      <c r="C117" s="3">
        <v>32</v>
      </c>
      <c r="D117" s="3">
        <v>17</v>
      </c>
      <c r="E117" s="3">
        <f>((1/(INDEX(E0!J$4:J$47,C117,1)-INDEX(E0!J$4:J$47,D117,1))))*100000000</f>
        <v>0</v>
      </c>
      <c r="F117" s="4" t="str">
        <f>HYPERLINK("http://141.218.60.56/~jnz1568/getInfo.php?workbook=16_14.xlsx&amp;sheet=A0&amp;row=117&amp;col=6&amp;number=60015&amp;sourceID=48","60015")</f>
        <v>60015</v>
      </c>
      <c r="G117" s="4" t="str">
        <f>HYPERLINK("http://141.218.60.56/~jnz1568/getInfo.php?workbook=16_14.xlsx&amp;sheet=A0&amp;row=117&amp;col=7&amp;number=&amp;sourceID=48","")</f>
        <v/>
      </c>
      <c r="H117" s="4" t="str">
        <f>HYPERLINK("http://141.218.60.56/~jnz1568/getInfo.php?workbook=16_14.xlsx&amp;sheet=A0&amp;row=117&amp;col=8&amp;number=&amp;sourceID=48","")</f>
        <v/>
      </c>
      <c r="I117" s="4" t="str">
        <f>HYPERLINK("http://141.218.60.56/~jnz1568/getInfo.php?workbook=16_14.xlsx&amp;sheet=A0&amp;row=117&amp;col=9&amp;number=&amp;sourceID=48","")</f>
        <v/>
      </c>
      <c r="J117" s="4" t="str">
        <f>HYPERLINK("http://141.218.60.56/~jnz1568/getInfo.php?workbook=16_14.xlsx&amp;sheet=A0&amp;row=117&amp;col=10&amp;number=&amp;sourceID=49","")</f>
        <v/>
      </c>
      <c r="K117" s="4" t="str">
        <f>HYPERLINK("http://141.218.60.56/~jnz1568/getInfo.php?workbook=16_14.xlsx&amp;sheet=A0&amp;row=117&amp;col=11&amp;number=&amp;sourceID=49","")</f>
        <v/>
      </c>
    </row>
    <row r="118" spans="1:11">
      <c r="A118" s="3">
        <v>16</v>
      </c>
      <c r="B118" s="3">
        <v>14</v>
      </c>
      <c r="C118" s="3">
        <v>32</v>
      </c>
      <c r="D118" s="3">
        <v>17</v>
      </c>
      <c r="E118" s="3">
        <f>((1/(INDEX(E0!J$4:J$47,C118,1)-INDEX(E0!J$4:J$47,D118,1))))*100000000</f>
        <v>0</v>
      </c>
      <c r="F118" s="4" t="str">
        <f>HYPERLINK("http://141.218.60.56/~jnz1568/getInfo.php?workbook=16_14.xlsx&amp;sheet=A0&amp;row=118&amp;col=6&amp;number=60014&amp;sourceID=48","60014")</f>
        <v>60014</v>
      </c>
      <c r="G118" s="4" t="str">
        <f>HYPERLINK("http://141.218.60.56/~jnz1568/getInfo.php?workbook=16_14.xlsx&amp;sheet=A0&amp;row=118&amp;col=7&amp;number=&amp;sourceID=48","")</f>
        <v/>
      </c>
      <c r="H118" s="4" t="str">
        <f>HYPERLINK("http://141.218.60.56/~jnz1568/getInfo.php?workbook=16_14.xlsx&amp;sheet=A0&amp;row=118&amp;col=8&amp;number=&amp;sourceID=48","")</f>
        <v/>
      </c>
      <c r="I118" s="4" t="str">
        <f>HYPERLINK("http://141.218.60.56/~jnz1568/getInfo.php?workbook=16_14.xlsx&amp;sheet=A0&amp;row=118&amp;col=9&amp;number=&amp;sourceID=48","")</f>
        <v/>
      </c>
      <c r="J118" s="4" t="str">
        <f>HYPERLINK("http://141.218.60.56/~jnz1568/getInfo.php?workbook=16_14.xlsx&amp;sheet=A0&amp;row=118&amp;col=10&amp;number=&amp;sourceID=49","")</f>
        <v/>
      </c>
      <c r="K118" s="4" t="str">
        <f>HYPERLINK("http://141.218.60.56/~jnz1568/getInfo.php?workbook=16_14.xlsx&amp;sheet=A0&amp;row=118&amp;col=11&amp;number=&amp;sourceID=49","")</f>
        <v/>
      </c>
    </row>
    <row r="119" spans="1:11">
      <c r="A119" s="3">
        <v>16</v>
      </c>
      <c r="B119" s="3">
        <v>14</v>
      </c>
      <c r="C119" s="3">
        <v>32</v>
      </c>
      <c r="D119" s="3">
        <v>18</v>
      </c>
      <c r="E119" s="3">
        <f>((1/(INDEX(E0!J$4:J$47,C119,1)-INDEX(E0!J$4:J$47,D119,1))))*100000000</f>
        <v>0</v>
      </c>
      <c r="F119" s="4" t="str">
        <f>HYPERLINK("http://141.218.60.56/~jnz1568/getInfo.php?workbook=16_14.xlsx&amp;sheet=A0&amp;row=119&amp;col=6&amp;number=933.05&amp;sourceID=48","933.05")</f>
        <v>933.05</v>
      </c>
      <c r="G119" s="4" t="str">
        <f>HYPERLINK("http://141.218.60.56/~jnz1568/getInfo.php?workbook=16_14.xlsx&amp;sheet=A0&amp;row=119&amp;col=7&amp;number=&amp;sourceID=48","")</f>
        <v/>
      </c>
      <c r="H119" s="4" t="str">
        <f>HYPERLINK("http://141.218.60.56/~jnz1568/getInfo.php?workbook=16_14.xlsx&amp;sheet=A0&amp;row=119&amp;col=8&amp;number=&amp;sourceID=48","")</f>
        <v/>
      </c>
      <c r="I119" s="4" t="str">
        <f>HYPERLINK("http://141.218.60.56/~jnz1568/getInfo.php?workbook=16_14.xlsx&amp;sheet=A0&amp;row=119&amp;col=9&amp;number=&amp;sourceID=48","")</f>
        <v/>
      </c>
      <c r="J119" s="4" t="str">
        <f>HYPERLINK("http://141.218.60.56/~jnz1568/getInfo.php?workbook=16_14.xlsx&amp;sheet=A0&amp;row=119&amp;col=10&amp;number=&amp;sourceID=49","")</f>
        <v/>
      </c>
      <c r="K119" s="4" t="str">
        <f>HYPERLINK("http://141.218.60.56/~jnz1568/getInfo.php?workbook=16_14.xlsx&amp;sheet=A0&amp;row=119&amp;col=11&amp;number=&amp;sourceID=49","")</f>
        <v/>
      </c>
    </row>
    <row r="120" spans="1:11">
      <c r="A120" s="3">
        <v>16</v>
      </c>
      <c r="B120" s="3">
        <v>14</v>
      </c>
      <c r="C120" s="3">
        <v>32</v>
      </c>
      <c r="D120" s="3">
        <v>19</v>
      </c>
      <c r="E120" s="3">
        <f>((1/(INDEX(E0!J$4:J$47,C120,1)-INDEX(E0!J$4:J$47,D120,1))))*100000000</f>
        <v>0</v>
      </c>
      <c r="F120" s="4" t="str">
        <f>HYPERLINK("http://141.218.60.56/~jnz1568/getInfo.php?workbook=16_14.xlsx&amp;sheet=A0&amp;row=120&amp;col=6&amp;number=294960&amp;sourceID=48","294960")</f>
        <v>294960</v>
      </c>
      <c r="G120" s="4" t="str">
        <f>HYPERLINK("http://141.218.60.56/~jnz1568/getInfo.php?workbook=16_14.xlsx&amp;sheet=A0&amp;row=120&amp;col=7&amp;number=&amp;sourceID=48","")</f>
        <v/>
      </c>
      <c r="H120" s="4" t="str">
        <f>HYPERLINK("http://141.218.60.56/~jnz1568/getInfo.php?workbook=16_14.xlsx&amp;sheet=A0&amp;row=120&amp;col=8&amp;number=&amp;sourceID=48","")</f>
        <v/>
      </c>
      <c r="I120" s="4" t="str">
        <f>HYPERLINK("http://141.218.60.56/~jnz1568/getInfo.php?workbook=16_14.xlsx&amp;sheet=A0&amp;row=120&amp;col=9&amp;number=&amp;sourceID=48","")</f>
        <v/>
      </c>
      <c r="J120" s="4" t="str">
        <f>HYPERLINK("http://141.218.60.56/~jnz1568/getInfo.php?workbook=16_14.xlsx&amp;sheet=A0&amp;row=120&amp;col=10&amp;number=&amp;sourceID=49","")</f>
        <v/>
      </c>
      <c r="K120" s="4" t="str">
        <f>HYPERLINK("http://141.218.60.56/~jnz1568/getInfo.php?workbook=16_14.xlsx&amp;sheet=A0&amp;row=120&amp;col=11&amp;number=&amp;sourceID=49","")</f>
        <v/>
      </c>
    </row>
    <row r="121" spans="1:11">
      <c r="A121" s="3">
        <v>16</v>
      </c>
      <c r="B121" s="3">
        <v>14</v>
      </c>
      <c r="C121" s="3">
        <v>32</v>
      </c>
      <c r="D121" s="3">
        <v>20</v>
      </c>
      <c r="E121" s="3">
        <f>((1/(INDEX(E0!J$4:J$47,C121,1)-INDEX(E0!J$4:J$47,D121,1))))*100000000</f>
        <v>0</v>
      </c>
      <c r="F121" s="4" t="str">
        <f>HYPERLINK("http://141.218.60.56/~jnz1568/getInfo.php?workbook=16_14.xlsx&amp;sheet=A0&amp;row=121&amp;col=6&amp;number=1872900&amp;sourceID=48","1872900")</f>
        <v>1872900</v>
      </c>
      <c r="G121" s="4" t="str">
        <f>HYPERLINK("http://141.218.60.56/~jnz1568/getInfo.php?workbook=16_14.xlsx&amp;sheet=A0&amp;row=121&amp;col=7&amp;number=&amp;sourceID=48","")</f>
        <v/>
      </c>
      <c r="H121" s="4" t="str">
        <f>HYPERLINK("http://141.218.60.56/~jnz1568/getInfo.php?workbook=16_14.xlsx&amp;sheet=A0&amp;row=121&amp;col=8&amp;number=&amp;sourceID=48","")</f>
        <v/>
      </c>
      <c r="I121" s="4" t="str">
        <f>HYPERLINK("http://141.218.60.56/~jnz1568/getInfo.php?workbook=16_14.xlsx&amp;sheet=A0&amp;row=121&amp;col=9&amp;number=&amp;sourceID=48","")</f>
        <v/>
      </c>
      <c r="J121" s="4" t="str">
        <f>HYPERLINK("http://141.218.60.56/~jnz1568/getInfo.php?workbook=16_14.xlsx&amp;sheet=A0&amp;row=121&amp;col=10&amp;number=&amp;sourceID=49","")</f>
        <v/>
      </c>
      <c r="K121" s="4" t="str">
        <f>HYPERLINK("http://141.218.60.56/~jnz1568/getInfo.php?workbook=16_14.xlsx&amp;sheet=A0&amp;row=121&amp;col=11&amp;number=&amp;sourceID=49","")</f>
        <v/>
      </c>
    </row>
    <row r="122" spans="1:11">
      <c r="A122" s="3">
        <v>16</v>
      </c>
      <c r="B122" s="3">
        <v>14</v>
      </c>
      <c r="C122" s="3">
        <v>32</v>
      </c>
      <c r="D122" s="3">
        <v>21</v>
      </c>
      <c r="E122" s="3">
        <f>((1/(INDEX(E0!J$4:J$47,C122,1)-INDEX(E0!J$4:J$47,D122,1))))*100000000</f>
        <v>0</v>
      </c>
      <c r="F122" s="4" t="str">
        <f>HYPERLINK("http://141.218.60.56/~jnz1568/getInfo.php?workbook=16_14.xlsx&amp;sheet=A0&amp;row=122&amp;col=6&amp;number=150000&amp;sourceID=48","150000")</f>
        <v>150000</v>
      </c>
      <c r="G122" s="4" t="str">
        <f>HYPERLINK("http://141.218.60.56/~jnz1568/getInfo.php?workbook=16_14.xlsx&amp;sheet=A0&amp;row=122&amp;col=7&amp;number=&amp;sourceID=48","")</f>
        <v/>
      </c>
      <c r="H122" s="4" t="str">
        <f>HYPERLINK("http://141.218.60.56/~jnz1568/getInfo.php?workbook=16_14.xlsx&amp;sheet=A0&amp;row=122&amp;col=8&amp;number=&amp;sourceID=48","")</f>
        <v/>
      </c>
      <c r="I122" s="4" t="str">
        <f>HYPERLINK("http://141.218.60.56/~jnz1568/getInfo.php?workbook=16_14.xlsx&amp;sheet=A0&amp;row=122&amp;col=9&amp;number=&amp;sourceID=48","")</f>
        <v/>
      </c>
      <c r="J122" s="4" t="str">
        <f>HYPERLINK("http://141.218.60.56/~jnz1568/getInfo.php?workbook=16_14.xlsx&amp;sheet=A0&amp;row=122&amp;col=10&amp;number=&amp;sourceID=49","")</f>
        <v/>
      </c>
      <c r="K122" s="4" t="str">
        <f>HYPERLINK("http://141.218.60.56/~jnz1568/getInfo.php?workbook=16_14.xlsx&amp;sheet=A0&amp;row=122&amp;col=11&amp;number=&amp;sourceID=49","")</f>
        <v/>
      </c>
    </row>
    <row r="123" spans="1:11">
      <c r="A123" s="3">
        <v>16</v>
      </c>
      <c r="B123" s="3">
        <v>14</v>
      </c>
      <c r="C123" s="3">
        <v>32</v>
      </c>
      <c r="D123" s="3">
        <v>22</v>
      </c>
      <c r="E123" s="3">
        <f>((1/(INDEX(E0!J$4:J$47,C123,1)-INDEX(E0!J$4:J$47,D123,1))))*100000000</f>
        <v>0</v>
      </c>
      <c r="F123" s="4" t="str">
        <f>HYPERLINK("http://141.218.60.56/~jnz1568/getInfo.php?workbook=16_14.xlsx&amp;sheet=A0&amp;row=123&amp;col=6&amp;number=153450&amp;sourceID=48","153450")</f>
        <v>153450</v>
      </c>
      <c r="G123" s="4" t="str">
        <f>HYPERLINK("http://141.218.60.56/~jnz1568/getInfo.php?workbook=16_14.xlsx&amp;sheet=A0&amp;row=123&amp;col=7&amp;number=&amp;sourceID=48","")</f>
        <v/>
      </c>
      <c r="H123" s="4" t="str">
        <f>HYPERLINK("http://141.218.60.56/~jnz1568/getInfo.php?workbook=16_14.xlsx&amp;sheet=A0&amp;row=123&amp;col=8&amp;number=&amp;sourceID=48","")</f>
        <v/>
      </c>
      <c r="I123" s="4" t="str">
        <f>HYPERLINK("http://141.218.60.56/~jnz1568/getInfo.php?workbook=16_14.xlsx&amp;sheet=A0&amp;row=123&amp;col=9&amp;number=&amp;sourceID=48","")</f>
        <v/>
      </c>
      <c r="J123" s="4" t="str">
        <f>HYPERLINK("http://141.218.60.56/~jnz1568/getInfo.php?workbook=16_14.xlsx&amp;sheet=A0&amp;row=123&amp;col=10&amp;number=&amp;sourceID=49","")</f>
        <v/>
      </c>
      <c r="K123" s="4" t="str">
        <f>HYPERLINK("http://141.218.60.56/~jnz1568/getInfo.php?workbook=16_14.xlsx&amp;sheet=A0&amp;row=123&amp;col=11&amp;number=&amp;sourceID=49","")</f>
        <v/>
      </c>
    </row>
    <row r="124" spans="1:11">
      <c r="A124" s="3">
        <v>16</v>
      </c>
      <c r="B124" s="3">
        <v>14</v>
      </c>
      <c r="C124" s="3">
        <v>32</v>
      </c>
      <c r="D124" s="3">
        <v>23</v>
      </c>
      <c r="E124" s="3">
        <f>((1/(INDEX(E0!J$4:J$47,C124,1)-INDEX(E0!J$4:J$47,D124,1))))*100000000</f>
        <v>0</v>
      </c>
      <c r="F124" s="4" t="str">
        <f>HYPERLINK("http://141.218.60.56/~jnz1568/getInfo.php?workbook=16_14.xlsx&amp;sheet=A0&amp;row=124&amp;col=6&amp;number=10810000&amp;sourceID=48","10810000")</f>
        <v>10810000</v>
      </c>
      <c r="G124" s="4" t="str">
        <f>HYPERLINK("http://141.218.60.56/~jnz1568/getInfo.php?workbook=16_14.xlsx&amp;sheet=A0&amp;row=124&amp;col=7&amp;number=&amp;sourceID=48","")</f>
        <v/>
      </c>
      <c r="H124" s="4" t="str">
        <f>HYPERLINK("http://141.218.60.56/~jnz1568/getInfo.php?workbook=16_14.xlsx&amp;sheet=A0&amp;row=124&amp;col=8&amp;number=&amp;sourceID=48","")</f>
        <v/>
      </c>
      <c r="I124" s="4" t="str">
        <f>HYPERLINK("http://141.218.60.56/~jnz1568/getInfo.php?workbook=16_14.xlsx&amp;sheet=A0&amp;row=124&amp;col=9&amp;number=&amp;sourceID=48","")</f>
        <v/>
      </c>
      <c r="J124" s="4" t="str">
        <f>HYPERLINK("http://141.218.60.56/~jnz1568/getInfo.php?workbook=16_14.xlsx&amp;sheet=A0&amp;row=124&amp;col=10&amp;number=&amp;sourceID=49","")</f>
        <v/>
      </c>
      <c r="K124" s="4" t="str">
        <f>HYPERLINK("http://141.218.60.56/~jnz1568/getInfo.php?workbook=16_14.xlsx&amp;sheet=A0&amp;row=124&amp;col=11&amp;number=&amp;sourceID=49","")</f>
        <v/>
      </c>
    </row>
    <row r="125" spans="1:11">
      <c r="A125" s="3">
        <v>16</v>
      </c>
      <c r="B125" s="3">
        <v>14</v>
      </c>
      <c r="C125" s="3">
        <v>32</v>
      </c>
      <c r="D125" s="3">
        <v>24</v>
      </c>
      <c r="E125" s="3">
        <f>((1/(INDEX(E0!J$4:J$47,C125,1)-INDEX(E0!J$4:J$47,D125,1))))*100000000</f>
        <v>0</v>
      </c>
      <c r="F125" s="4" t="str">
        <f>HYPERLINK("http://141.218.60.56/~jnz1568/getInfo.php?workbook=16_14.xlsx&amp;sheet=A0&amp;row=125&amp;col=6&amp;number=29096&amp;sourceID=48","29096")</f>
        <v>29096</v>
      </c>
      <c r="G125" s="4" t="str">
        <f>HYPERLINK("http://141.218.60.56/~jnz1568/getInfo.php?workbook=16_14.xlsx&amp;sheet=A0&amp;row=125&amp;col=7&amp;number=&amp;sourceID=48","")</f>
        <v/>
      </c>
      <c r="H125" s="4" t="str">
        <f>HYPERLINK("http://141.218.60.56/~jnz1568/getInfo.php?workbook=16_14.xlsx&amp;sheet=A0&amp;row=125&amp;col=8&amp;number=&amp;sourceID=48","")</f>
        <v/>
      </c>
      <c r="I125" s="4" t="str">
        <f>HYPERLINK("http://141.218.60.56/~jnz1568/getInfo.php?workbook=16_14.xlsx&amp;sheet=A0&amp;row=125&amp;col=9&amp;number=&amp;sourceID=48","")</f>
        <v/>
      </c>
      <c r="J125" s="4" t="str">
        <f>HYPERLINK("http://141.218.60.56/~jnz1568/getInfo.php?workbook=16_14.xlsx&amp;sheet=A0&amp;row=125&amp;col=10&amp;number=&amp;sourceID=49","")</f>
        <v/>
      </c>
      <c r="K125" s="4" t="str">
        <f>HYPERLINK("http://141.218.60.56/~jnz1568/getInfo.php?workbook=16_14.xlsx&amp;sheet=A0&amp;row=125&amp;col=11&amp;number=&amp;sourceID=49","")</f>
        <v/>
      </c>
    </row>
    <row r="126" spans="1:11">
      <c r="A126" s="3">
        <v>16</v>
      </c>
      <c r="B126" s="3">
        <v>14</v>
      </c>
      <c r="C126" s="3">
        <v>32</v>
      </c>
      <c r="D126" s="3">
        <v>25</v>
      </c>
      <c r="E126" s="3">
        <f>((1/(INDEX(E0!J$4:J$47,C126,1)-INDEX(E0!J$4:J$47,D126,1))))*100000000</f>
        <v>0</v>
      </c>
      <c r="F126" s="4" t="str">
        <f>HYPERLINK("http://141.218.60.56/~jnz1568/getInfo.php?workbook=16_14.xlsx&amp;sheet=A0&amp;row=126&amp;col=6&amp;number=242250&amp;sourceID=48","242250")</f>
        <v>242250</v>
      </c>
      <c r="G126" s="4" t="str">
        <f>HYPERLINK("http://141.218.60.56/~jnz1568/getInfo.php?workbook=16_14.xlsx&amp;sheet=A0&amp;row=126&amp;col=7&amp;number=&amp;sourceID=48","")</f>
        <v/>
      </c>
      <c r="H126" s="4" t="str">
        <f>HYPERLINK("http://141.218.60.56/~jnz1568/getInfo.php?workbook=16_14.xlsx&amp;sheet=A0&amp;row=126&amp;col=8&amp;number=&amp;sourceID=48","")</f>
        <v/>
      </c>
      <c r="I126" s="4" t="str">
        <f>HYPERLINK("http://141.218.60.56/~jnz1568/getInfo.php?workbook=16_14.xlsx&amp;sheet=A0&amp;row=126&amp;col=9&amp;number=&amp;sourceID=48","")</f>
        <v/>
      </c>
      <c r="J126" s="4" t="str">
        <f>HYPERLINK("http://141.218.60.56/~jnz1568/getInfo.php?workbook=16_14.xlsx&amp;sheet=A0&amp;row=126&amp;col=10&amp;number=&amp;sourceID=49","")</f>
        <v/>
      </c>
      <c r="K126" s="4" t="str">
        <f>HYPERLINK("http://141.218.60.56/~jnz1568/getInfo.php?workbook=16_14.xlsx&amp;sheet=A0&amp;row=126&amp;col=11&amp;number=&amp;sourceID=49","")</f>
        <v/>
      </c>
    </row>
    <row r="127" spans="1:11">
      <c r="A127" s="3">
        <v>16</v>
      </c>
      <c r="B127" s="3">
        <v>14</v>
      </c>
      <c r="C127" s="3">
        <v>32</v>
      </c>
      <c r="D127" s="3">
        <v>26</v>
      </c>
      <c r="E127" s="3">
        <f>((1/(INDEX(E0!J$4:J$47,C127,1)-INDEX(E0!J$4:J$47,D127,1))))*100000000</f>
        <v>0</v>
      </c>
      <c r="F127" s="4" t="str">
        <f>HYPERLINK("http://141.218.60.56/~jnz1568/getInfo.php?workbook=16_14.xlsx&amp;sheet=A0&amp;row=127&amp;col=6&amp;number=1947.4&amp;sourceID=48","1947.4")</f>
        <v>1947.4</v>
      </c>
      <c r="G127" s="4" t="str">
        <f>HYPERLINK("http://141.218.60.56/~jnz1568/getInfo.php?workbook=16_14.xlsx&amp;sheet=A0&amp;row=127&amp;col=7&amp;number=&amp;sourceID=48","")</f>
        <v/>
      </c>
      <c r="H127" s="4" t="str">
        <f>HYPERLINK("http://141.218.60.56/~jnz1568/getInfo.php?workbook=16_14.xlsx&amp;sheet=A0&amp;row=127&amp;col=8&amp;number=&amp;sourceID=48","")</f>
        <v/>
      </c>
      <c r="I127" s="4" t="str">
        <f>HYPERLINK("http://141.218.60.56/~jnz1568/getInfo.php?workbook=16_14.xlsx&amp;sheet=A0&amp;row=127&amp;col=9&amp;number=&amp;sourceID=48","")</f>
        <v/>
      </c>
      <c r="J127" s="4" t="str">
        <f>HYPERLINK("http://141.218.60.56/~jnz1568/getInfo.php?workbook=16_14.xlsx&amp;sheet=A0&amp;row=127&amp;col=10&amp;number=&amp;sourceID=49","")</f>
        <v/>
      </c>
      <c r="K127" s="4" t="str">
        <f>HYPERLINK("http://141.218.60.56/~jnz1568/getInfo.php?workbook=16_14.xlsx&amp;sheet=A0&amp;row=127&amp;col=11&amp;number=&amp;sourceID=49","")</f>
        <v/>
      </c>
    </row>
    <row r="128" spans="1:11">
      <c r="A128" s="3">
        <v>16</v>
      </c>
      <c r="B128" s="3">
        <v>14</v>
      </c>
      <c r="C128" s="3">
        <v>32</v>
      </c>
      <c r="D128" s="3">
        <v>28</v>
      </c>
      <c r="E128" s="3">
        <f>((1/(INDEX(E0!J$4:J$47,C128,1)-INDEX(E0!J$4:J$47,D128,1))))*100000000</f>
        <v>0</v>
      </c>
      <c r="F128" s="4" t="str">
        <f>HYPERLINK("http://141.218.60.56/~jnz1568/getInfo.php?workbook=16_14.xlsx&amp;sheet=A0&amp;row=128&amp;col=6&amp;number=59116000&amp;sourceID=48","59116000")</f>
        <v>59116000</v>
      </c>
      <c r="G128" s="4" t="str">
        <f>HYPERLINK("http://141.218.60.56/~jnz1568/getInfo.php?workbook=16_14.xlsx&amp;sheet=A0&amp;row=128&amp;col=7&amp;number=&amp;sourceID=48","")</f>
        <v/>
      </c>
      <c r="H128" s="4" t="str">
        <f>HYPERLINK("http://141.218.60.56/~jnz1568/getInfo.php?workbook=16_14.xlsx&amp;sheet=A0&amp;row=128&amp;col=8&amp;number=&amp;sourceID=48","")</f>
        <v/>
      </c>
      <c r="I128" s="4" t="str">
        <f>HYPERLINK("http://141.218.60.56/~jnz1568/getInfo.php?workbook=16_14.xlsx&amp;sheet=A0&amp;row=128&amp;col=9&amp;number=&amp;sourceID=48","")</f>
        <v/>
      </c>
      <c r="J128" s="4" t="str">
        <f>HYPERLINK("http://141.218.60.56/~jnz1568/getInfo.php?workbook=16_14.xlsx&amp;sheet=A0&amp;row=128&amp;col=10&amp;number=&amp;sourceID=49","")</f>
        <v/>
      </c>
      <c r="K128" s="4" t="str">
        <f>HYPERLINK("http://141.218.60.56/~jnz1568/getInfo.php?workbook=16_14.xlsx&amp;sheet=A0&amp;row=128&amp;col=11&amp;number=&amp;sourceID=49","")</f>
        <v/>
      </c>
    </row>
    <row r="129" spans="1:11">
      <c r="A129" s="3">
        <v>16</v>
      </c>
      <c r="B129" s="3">
        <v>14</v>
      </c>
      <c r="C129" s="3">
        <v>32</v>
      </c>
      <c r="D129" s="3">
        <v>28</v>
      </c>
      <c r="E129" s="3">
        <f>((1/(INDEX(E0!J$4:J$47,C129,1)-INDEX(E0!J$4:J$47,D129,1))))*100000000</f>
        <v>0</v>
      </c>
      <c r="F129" s="4" t="str">
        <f>HYPERLINK("http://141.218.60.56/~jnz1568/getInfo.php?workbook=16_14.xlsx&amp;sheet=A0&amp;row=129&amp;col=6&amp;number=59115000&amp;sourceID=48","59115000")</f>
        <v>59115000</v>
      </c>
      <c r="G129" s="4" t="str">
        <f>HYPERLINK("http://141.218.60.56/~jnz1568/getInfo.php?workbook=16_14.xlsx&amp;sheet=A0&amp;row=129&amp;col=7&amp;number=&amp;sourceID=48","")</f>
        <v/>
      </c>
      <c r="H129" s="4" t="str">
        <f>HYPERLINK("http://141.218.60.56/~jnz1568/getInfo.php?workbook=16_14.xlsx&amp;sheet=A0&amp;row=129&amp;col=8&amp;number=&amp;sourceID=48","")</f>
        <v/>
      </c>
      <c r="I129" s="4" t="str">
        <f>HYPERLINK("http://141.218.60.56/~jnz1568/getInfo.php?workbook=16_14.xlsx&amp;sheet=A0&amp;row=129&amp;col=9&amp;number=&amp;sourceID=48","")</f>
        <v/>
      </c>
      <c r="J129" s="4" t="str">
        <f>HYPERLINK("http://141.218.60.56/~jnz1568/getInfo.php?workbook=16_14.xlsx&amp;sheet=A0&amp;row=129&amp;col=10&amp;number=&amp;sourceID=49","")</f>
        <v/>
      </c>
      <c r="K129" s="4" t="str">
        <f>HYPERLINK("http://141.218.60.56/~jnz1568/getInfo.php?workbook=16_14.xlsx&amp;sheet=A0&amp;row=129&amp;col=11&amp;number=&amp;sourceID=49","")</f>
        <v/>
      </c>
    </row>
    <row r="130" spans="1:11">
      <c r="A130" s="3">
        <v>16</v>
      </c>
      <c r="B130" s="3">
        <v>14</v>
      </c>
      <c r="C130" s="3">
        <v>32</v>
      </c>
      <c r="D130" s="3">
        <v>29</v>
      </c>
      <c r="E130" s="3">
        <f>((1/(INDEX(E0!J$4:J$47,C130,1)-INDEX(E0!J$4:J$47,D130,1))))*100000000</f>
        <v>0</v>
      </c>
      <c r="F130" s="4" t="str">
        <f>HYPERLINK("http://141.218.60.56/~jnz1568/getInfo.php?workbook=16_14.xlsx&amp;sheet=A0&amp;row=130&amp;col=6&amp;number=4959900&amp;sourceID=48","4959900")</f>
        <v>4959900</v>
      </c>
      <c r="G130" s="4" t="str">
        <f>HYPERLINK("http://141.218.60.56/~jnz1568/getInfo.php?workbook=16_14.xlsx&amp;sheet=A0&amp;row=130&amp;col=7&amp;number=&amp;sourceID=48","")</f>
        <v/>
      </c>
      <c r="H130" s="4" t="str">
        <f>HYPERLINK("http://141.218.60.56/~jnz1568/getInfo.php?workbook=16_14.xlsx&amp;sheet=A0&amp;row=130&amp;col=8&amp;number=&amp;sourceID=48","")</f>
        <v/>
      </c>
      <c r="I130" s="4" t="str">
        <f>HYPERLINK("http://141.218.60.56/~jnz1568/getInfo.php?workbook=16_14.xlsx&amp;sheet=A0&amp;row=130&amp;col=9&amp;number=&amp;sourceID=48","")</f>
        <v/>
      </c>
      <c r="J130" s="4" t="str">
        <f>HYPERLINK("http://141.218.60.56/~jnz1568/getInfo.php?workbook=16_14.xlsx&amp;sheet=A0&amp;row=130&amp;col=10&amp;number=&amp;sourceID=49","")</f>
        <v/>
      </c>
      <c r="K130" s="4" t="str">
        <f>HYPERLINK("http://141.218.60.56/~jnz1568/getInfo.php?workbook=16_14.xlsx&amp;sheet=A0&amp;row=130&amp;col=11&amp;number=&amp;sourceID=49","")</f>
        <v/>
      </c>
    </row>
    <row r="131" spans="1:11">
      <c r="A131" s="3">
        <v>16</v>
      </c>
      <c r="B131" s="3">
        <v>14</v>
      </c>
      <c r="C131" s="3">
        <v>32</v>
      </c>
      <c r="D131" s="3">
        <v>29</v>
      </c>
      <c r="E131" s="3">
        <f>((1/(INDEX(E0!J$4:J$47,C131,1)-INDEX(E0!J$4:J$47,D131,1))))*100000000</f>
        <v>0</v>
      </c>
      <c r="F131" s="4" t="str">
        <f>HYPERLINK("http://141.218.60.56/~jnz1568/getInfo.php?workbook=16_14.xlsx&amp;sheet=A0&amp;row=131&amp;col=6&amp;number=4959900&amp;sourceID=48","4959900")</f>
        <v>4959900</v>
      </c>
      <c r="G131" s="4" t="str">
        <f>HYPERLINK("http://141.218.60.56/~jnz1568/getInfo.php?workbook=16_14.xlsx&amp;sheet=A0&amp;row=131&amp;col=7&amp;number=&amp;sourceID=48","")</f>
        <v/>
      </c>
      <c r="H131" s="4" t="str">
        <f>HYPERLINK("http://141.218.60.56/~jnz1568/getInfo.php?workbook=16_14.xlsx&amp;sheet=A0&amp;row=131&amp;col=8&amp;number=&amp;sourceID=48","")</f>
        <v/>
      </c>
      <c r="I131" s="4" t="str">
        <f>HYPERLINK("http://141.218.60.56/~jnz1568/getInfo.php?workbook=16_14.xlsx&amp;sheet=A0&amp;row=131&amp;col=9&amp;number=&amp;sourceID=48","")</f>
        <v/>
      </c>
      <c r="J131" s="4" t="str">
        <f>HYPERLINK("http://141.218.60.56/~jnz1568/getInfo.php?workbook=16_14.xlsx&amp;sheet=A0&amp;row=131&amp;col=10&amp;number=&amp;sourceID=49","")</f>
        <v/>
      </c>
      <c r="K131" s="4" t="str">
        <f>HYPERLINK("http://141.218.60.56/~jnz1568/getInfo.php?workbook=16_14.xlsx&amp;sheet=A0&amp;row=131&amp;col=11&amp;number=&amp;sourceID=49","")</f>
        <v/>
      </c>
    </row>
    <row r="132" spans="1:11">
      <c r="A132" s="3">
        <v>16</v>
      </c>
      <c r="B132" s="3">
        <v>14</v>
      </c>
      <c r="C132" s="3">
        <v>32</v>
      </c>
      <c r="D132" s="3">
        <v>31</v>
      </c>
      <c r="E132" s="3">
        <f>((1/(INDEX(E0!J$4:J$47,C132,1)-INDEX(E0!J$4:J$47,D132,1))))*100000000</f>
        <v>0</v>
      </c>
      <c r="F132" s="4" t="str">
        <f>HYPERLINK("http://141.218.60.56/~jnz1568/getInfo.php?workbook=16_14.xlsx&amp;sheet=A0&amp;row=132&amp;col=6&amp;number=34.235&amp;sourceID=48","34.235")</f>
        <v>34.235</v>
      </c>
      <c r="G132" s="4" t="str">
        <f>HYPERLINK("http://141.218.60.56/~jnz1568/getInfo.php?workbook=16_14.xlsx&amp;sheet=A0&amp;row=132&amp;col=7&amp;number=&amp;sourceID=48","")</f>
        <v/>
      </c>
      <c r="H132" s="4" t="str">
        <f>HYPERLINK("http://141.218.60.56/~jnz1568/getInfo.php?workbook=16_14.xlsx&amp;sheet=A0&amp;row=132&amp;col=8&amp;number=&amp;sourceID=48","")</f>
        <v/>
      </c>
      <c r="I132" s="4" t="str">
        <f>HYPERLINK("http://141.218.60.56/~jnz1568/getInfo.php?workbook=16_14.xlsx&amp;sheet=A0&amp;row=132&amp;col=9&amp;number=&amp;sourceID=48","")</f>
        <v/>
      </c>
      <c r="J132" s="4" t="str">
        <f>HYPERLINK("http://141.218.60.56/~jnz1568/getInfo.php?workbook=16_14.xlsx&amp;sheet=A0&amp;row=132&amp;col=10&amp;number=&amp;sourceID=49","")</f>
        <v/>
      </c>
      <c r="K132" s="4" t="str">
        <f>HYPERLINK("http://141.218.60.56/~jnz1568/getInfo.php?workbook=16_14.xlsx&amp;sheet=A0&amp;row=132&amp;col=11&amp;number=&amp;sourceID=49","")</f>
        <v/>
      </c>
    </row>
    <row r="133" spans="1:11">
      <c r="A133" s="3">
        <v>16</v>
      </c>
      <c r="B133" s="3">
        <v>14</v>
      </c>
      <c r="C133" s="3">
        <v>32</v>
      </c>
      <c r="D133" s="3">
        <v>31</v>
      </c>
      <c r="E133" s="3">
        <f>((1/(INDEX(E0!J$4:J$47,C133,1)-INDEX(E0!J$4:J$47,D133,1))))*100000000</f>
        <v>0</v>
      </c>
      <c r="F133" s="4" t="str">
        <f>HYPERLINK("http://141.218.60.56/~jnz1568/getInfo.php?workbook=16_14.xlsx&amp;sheet=A0&amp;row=133&amp;col=6&amp;number=34.236&amp;sourceID=48","34.236")</f>
        <v>34.236</v>
      </c>
      <c r="G133" s="4" t="str">
        <f>HYPERLINK("http://141.218.60.56/~jnz1568/getInfo.php?workbook=16_14.xlsx&amp;sheet=A0&amp;row=133&amp;col=7&amp;number=&amp;sourceID=48","")</f>
        <v/>
      </c>
      <c r="H133" s="4" t="str">
        <f>HYPERLINK("http://141.218.60.56/~jnz1568/getInfo.php?workbook=16_14.xlsx&amp;sheet=A0&amp;row=133&amp;col=8&amp;number=&amp;sourceID=48","")</f>
        <v/>
      </c>
      <c r="I133" s="4" t="str">
        <f>HYPERLINK("http://141.218.60.56/~jnz1568/getInfo.php?workbook=16_14.xlsx&amp;sheet=A0&amp;row=133&amp;col=9&amp;number=&amp;sourceID=48","")</f>
        <v/>
      </c>
      <c r="J133" s="4" t="str">
        <f>HYPERLINK("http://141.218.60.56/~jnz1568/getInfo.php?workbook=16_14.xlsx&amp;sheet=A0&amp;row=133&amp;col=10&amp;number=&amp;sourceID=49","")</f>
        <v/>
      </c>
      <c r="K133" s="4" t="str">
        <f>HYPERLINK("http://141.218.60.56/~jnz1568/getInfo.php?workbook=16_14.xlsx&amp;sheet=A0&amp;row=133&amp;col=11&amp;number=&amp;sourceID=49","")</f>
        <v/>
      </c>
    </row>
    <row r="134" spans="1:11">
      <c r="A134" s="3">
        <v>16</v>
      </c>
      <c r="B134" s="3">
        <v>14</v>
      </c>
      <c r="C134" s="3">
        <v>33</v>
      </c>
      <c r="D134" s="3">
        <v>6</v>
      </c>
      <c r="E134" s="3">
        <f>((1/(INDEX(E0!J$4:J$47,C134,1)-INDEX(E0!J$4:J$47,D134,1))))*100000000</f>
        <v>0</v>
      </c>
      <c r="F134" s="4" t="str">
        <f>HYPERLINK("http://141.218.60.56/~jnz1568/getInfo.php?workbook=16_14.xlsx&amp;sheet=A0&amp;row=134&amp;col=6&amp;number=150.48&amp;sourceID=48","150.48")</f>
        <v>150.48</v>
      </c>
      <c r="G134" s="4" t="str">
        <f>HYPERLINK("http://141.218.60.56/~jnz1568/getInfo.php?workbook=16_14.xlsx&amp;sheet=A0&amp;row=134&amp;col=7&amp;number=&amp;sourceID=48","")</f>
        <v/>
      </c>
      <c r="H134" s="4" t="str">
        <f>HYPERLINK("http://141.218.60.56/~jnz1568/getInfo.php?workbook=16_14.xlsx&amp;sheet=A0&amp;row=134&amp;col=8&amp;number=&amp;sourceID=48","")</f>
        <v/>
      </c>
      <c r="I134" s="4" t="str">
        <f>HYPERLINK("http://141.218.60.56/~jnz1568/getInfo.php?workbook=16_14.xlsx&amp;sheet=A0&amp;row=134&amp;col=9&amp;number=&amp;sourceID=48","")</f>
        <v/>
      </c>
      <c r="J134" s="4" t="str">
        <f>HYPERLINK("http://141.218.60.56/~jnz1568/getInfo.php?workbook=16_14.xlsx&amp;sheet=A0&amp;row=134&amp;col=10&amp;number=&amp;sourceID=49","")</f>
        <v/>
      </c>
      <c r="K134" s="4" t="str">
        <f>HYPERLINK("http://141.218.60.56/~jnz1568/getInfo.php?workbook=16_14.xlsx&amp;sheet=A0&amp;row=134&amp;col=11&amp;number=&amp;sourceID=49","")</f>
        <v/>
      </c>
    </row>
    <row r="135" spans="1:11">
      <c r="A135" s="3">
        <v>16</v>
      </c>
      <c r="B135" s="3">
        <v>14</v>
      </c>
      <c r="C135" s="3">
        <v>33</v>
      </c>
      <c r="D135" s="3">
        <v>7</v>
      </c>
      <c r="E135" s="3">
        <f>((1/(INDEX(E0!J$4:J$47,C135,1)-INDEX(E0!J$4:J$47,D135,1))))*100000000</f>
        <v>0</v>
      </c>
      <c r="F135" s="4" t="str">
        <f>HYPERLINK("http://141.218.60.56/~jnz1568/getInfo.php?workbook=16_14.xlsx&amp;sheet=A0&amp;row=135&amp;col=6&amp;number=26881000&amp;sourceID=48","26881000")</f>
        <v>26881000</v>
      </c>
      <c r="G135" s="4" t="str">
        <f>HYPERLINK("http://141.218.60.56/~jnz1568/getInfo.php?workbook=16_14.xlsx&amp;sheet=A0&amp;row=135&amp;col=7&amp;number=&amp;sourceID=48","")</f>
        <v/>
      </c>
      <c r="H135" s="4" t="str">
        <f>HYPERLINK("http://141.218.60.56/~jnz1568/getInfo.php?workbook=16_14.xlsx&amp;sheet=A0&amp;row=135&amp;col=8&amp;number=&amp;sourceID=48","")</f>
        <v/>
      </c>
      <c r="I135" s="4" t="str">
        <f>HYPERLINK("http://141.218.60.56/~jnz1568/getInfo.php?workbook=16_14.xlsx&amp;sheet=A0&amp;row=135&amp;col=9&amp;number=&amp;sourceID=48","")</f>
        <v/>
      </c>
      <c r="J135" s="4" t="str">
        <f>HYPERLINK("http://141.218.60.56/~jnz1568/getInfo.php?workbook=16_14.xlsx&amp;sheet=A0&amp;row=135&amp;col=10&amp;number=&amp;sourceID=49","")</f>
        <v/>
      </c>
      <c r="K135" s="4" t="str">
        <f>HYPERLINK("http://141.218.60.56/~jnz1568/getInfo.php?workbook=16_14.xlsx&amp;sheet=A0&amp;row=135&amp;col=11&amp;number=&amp;sourceID=49","")</f>
        <v/>
      </c>
    </row>
    <row r="136" spans="1:11">
      <c r="A136" s="3">
        <v>16</v>
      </c>
      <c r="B136" s="3">
        <v>14</v>
      </c>
      <c r="C136" s="3">
        <v>33</v>
      </c>
      <c r="D136" s="3">
        <v>8</v>
      </c>
      <c r="E136" s="3">
        <f>((1/(INDEX(E0!J$4:J$47,C136,1)-INDEX(E0!J$4:J$47,D136,1))))*100000000</f>
        <v>0</v>
      </c>
      <c r="F136" s="4" t="str">
        <f>HYPERLINK("http://141.218.60.56/~jnz1568/getInfo.php?workbook=16_14.xlsx&amp;sheet=A0&amp;row=136&amp;col=6&amp;number=15646000&amp;sourceID=48","15646000")</f>
        <v>15646000</v>
      </c>
      <c r="G136" s="4" t="str">
        <f>HYPERLINK("http://141.218.60.56/~jnz1568/getInfo.php?workbook=16_14.xlsx&amp;sheet=A0&amp;row=136&amp;col=7&amp;number=&amp;sourceID=48","")</f>
        <v/>
      </c>
      <c r="H136" s="4" t="str">
        <f>HYPERLINK("http://141.218.60.56/~jnz1568/getInfo.php?workbook=16_14.xlsx&amp;sheet=A0&amp;row=136&amp;col=8&amp;number=&amp;sourceID=48","")</f>
        <v/>
      </c>
      <c r="I136" s="4" t="str">
        <f>HYPERLINK("http://141.218.60.56/~jnz1568/getInfo.php?workbook=16_14.xlsx&amp;sheet=A0&amp;row=136&amp;col=9&amp;number=&amp;sourceID=48","")</f>
        <v/>
      </c>
      <c r="J136" s="4" t="str">
        <f>HYPERLINK("http://141.218.60.56/~jnz1568/getInfo.php?workbook=16_14.xlsx&amp;sheet=A0&amp;row=136&amp;col=10&amp;number=&amp;sourceID=49","")</f>
        <v/>
      </c>
      <c r="K136" s="4" t="str">
        <f>HYPERLINK("http://141.218.60.56/~jnz1568/getInfo.php?workbook=16_14.xlsx&amp;sheet=A0&amp;row=136&amp;col=11&amp;number=&amp;sourceID=49","")</f>
        <v/>
      </c>
    </row>
    <row r="137" spans="1:11">
      <c r="A137" s="3">
        <v>16</v>
      </c>
      <c r="B137" s="3">
        <v>14</v>
      </c>
      <c r="C137" s="3">
        <v>33</v>
      </c>
      <c r="D137" s="3">
        <v>10</v>
      </c>
      <c r="E137" s="3">
        <f>((1/(INDEX(E0!J$4:J$47,C137,1)-INDEX(E0!J$4:J$47,D137,1))))*100000000</f>
        <v>0</v>
      </c>
      <c r="F137" s="4" t="str">
        <f>HYPERLINK("http://141.218.60.56/~jnz1568/getInfo.php?workbook=16_14.xlsx&amp;sheet=A0&amp;row=137&amp;col=6&amp;number=690910&amp;sourceID=48","690910")</f>
        <v>690910</v>
      </c>
      <c r="G137" s="4" t="str">
        <f>HYPERLINK("http://141.218.60.56/~jnz1568/getInfo.php?workbook=16_14.xlsx&amp;sheet=A0&amp;row=137&amp;col=7&amp;number=&amp;sourceID=48","")</f>
        <v/>
      </c>
      <c r="H137" s="4" t="str">
        <f>HYPERLINK("http://141.218.60.56/~jnz1568/getInfo.php?workbook=16_14.xlsx&amp;sheet=A0&amp;row=137&amp;col=8&amp;number=&amp;sourceID=48","")</f>
        <v/>
      </c>
      <c r="I137" s="4" t="str">
        <f>HYPERLINK("http://141.218.60.56/~jnz1568/getInfo.php?workbook=16_14.xlsx&amp;sheet=A0&amp;row=137&amp;col=9&amp;number=&amp;sourceID=48","")</f>
        <v/>
      </c>
      <c r="J137" s="4" t="str">
        <f>HYPERLINK("http://141.218.60.56/~jnz1568/getInfo.php?workbook=16_14.xlsx&amp;sheet=A0&amp;row=137&amp;col=10&amp;number=&amp;sourceID=49","")</f>
        <v/>
      </c>
      <c r="K137" s="4" t="str">
        <f>HYPERLINK("http://141.218.60.56/~jnz1568/getInfo.php?workbook=16_14.xlsx&amp;sheet=A0&amp;row=137&amp;col=11&amp;number=&amp;sourceID=49","")</f>
        <v/>
      </c>
    </row>
    <row r="138" spans="1:11">
      <c r="A138" s="3">
        <v>16</v>
      </c>
      <c r="B138" s="3">
        <v>14</v>
      </c>
      <c r="C138" s="3">
        <v>33</v>
      </c>
      <c r="D138" s="3">
        <v>11</v>
      </c>
      <c r="E138" s="3">
        <f>((1/(INDEX(E0!J$4:J$47,C138,1)-INDEX(E0!J$4:J$47,D138,1))))*100000000</f>
        <v>0</v>
      </c>
      <c r="F138" s="4" t="str">
        <f>HYPERLINK("http://141.218.60.56/~jnz1568/getInfo.php?workbook=16_14.xlsx&amp;sheet=A0&amp;row=138&amp;col=6&amp;number=3116800&amp;sourceID=48","3116800")</f>
        <v>3116800</v>
      </c>
      <c r="G138" s="4" t="str">
        <f>HYPERLINK("http://141.218.60.56/~jnz1568/getInfo.php?workbook=16_14.xlsx&amp;sheet=A0&amp;row=138&amp;col=7&amp;number=&amp;sourceID=48","")</f>
        <v/>
      </c>
      <c r="H138" s="4" t="str">
        <f>HYPERLINK("http://141.218.60.56/~jnz1568/getInfo.php?workbook=16_14.xlsx&amp;sheet=A0&amp;row=138&amp;col=8&amp;number=&amp;sourceID=48","")</f>
        <v/>
      </c>
      <c r="I138" s="4" t="str">
        <f>HYPERLINK("http://141.218.60.56/~jnz1568/getInfo.php?workbook=16_14.xlsx&amp;sheet=A0&amp;row=138&amp;col=9&amp;number=&amp;sourceID=48","")</f>
        <v/>
      </c>
      <c r="J138" s="4" t="str">
        <f>HYPERLINK("http://141.218.60.56/~jnz1568/getInfo.php?workbook=16_14.xlsx&amp;sheet=A0&amp;row=138&amp;col=10&amp;number=&amp;sourceID=49","")</f>
        <v/>
      </c>
      <c r="K138" s="4" t="str">
        <f>HYPERLINK("http://141.218.60.56/~jnz1568/getInfo.php?workbook=16_14.xlsx&amp;sheet=A0&amp;row=138&amp;col=11&amp;number=&amp;sourceID=49","")</f>
        <v/>
      </c>
    </row>
    <row r="139" spans="1:11">
      <c r="A139" s="3">
        <v>16</v>
      </c>
      <c r="B139" s="3">
        <v>14</v>
      </c>
      <c r="C139" s="3">
        <v>33</v>
      </c>
      <c r="D139" s="3">
        <v>12</v>
      </c>
      <c r="E139" s="3">
        <f>((1/(INDEX(E0!J$4:J$47,C139,1)-INDEX(E0!J$4:J$47,D139,1))))*100000000</f>
        <v>0</v>
      </c>
      <c r="F139" s="4" t="str">
        <f>HYPERLINK("http://141.218.60.56/~jnz1568/getInfo.php?workbook=16_14.xlsx&amp;sheet=A0&amp;row=139&amp;col=6&amp;number=3979900&amp;sourceID=48","3979900")</f>
        <v>3979900</v>
      </c>
      <c r="G139" s="4" t="str">
        <f>HYPERLINK("http://141.218.60.56/~jnz1568/getInfo.php?workbook=16_14.xlsx&amp;sheet=A0&amp;row=139&amp;col=7&amp;number=&amp;sourceID=48","")</f>
        <v/>
      </c>
      <c r="H139" s="4" t="str">
        <f>HYPERLINK("http://141.218.60.56/~jnz1568/getInfo.php?workbook=16_14.xlsx&amp;sheet=A0&amp;row=139&amp;col=8&amp;number=&amp;sourceID=48","")</f>
        <v/>
      </c>
      <c r="I139" s="4" t="str">
        <f>HYPERLINK("http://141.218.60.56/~jnz1568/getInfo.php?workbook=16_14.xlsx&amp;sheet=A0&amp;row=139&amp;col=9&amp;number=&amp;sourceID=48","")</f>
        <v/>
      </c>
      <c r="J139" s="4" t="str">
        <f>HYPERLINK("http://141.218.60.56/~jnz1568/getInfo.php?workbook=16_14.xlsx&amp;sheet=A0&amp;row=139&amp;col=10&amp;number=&amp;sourceID=49","")</f>
        <v/>
      </c>
      <c r="K139" s="4" t="str">
        <f>HYPERLINK("http://141.218.60.56/~jnz1568/getInfo.php?workbook=16_14.xlsx&amp;sheet=A0&amp;row=139&amp;col=11&amp;number=&amp;sourceID=49","")</f>
        <v/>
      </c>
    </row>
    <row r="140" spans="1:11">
      <c r="A140" s="3">
        <v>16</v>
      </c>
      <c r="B140" s="3">
        <v>14</v>
      </c>
      <c r="C140" s="3">
        <v>33</v>
      </c>
      <c r="D140" s="3">
        <v>13</v>
      </c>
      <c r="E140" s="3">
        <f>((1/(INDEX(E0!J$4:J$47,C140,1)-INDEX(E0!J$4:J$47,D140,1))))*100000000</f>
        <v>0</v>
      </c>
      <c r="F140" s="4" t="str">
        <f>HYPERLINK("http://141.218.60.56/~jnz1568/getInfo.php?workbook=16_14.xlsx&amp;sheet=A0&amp;row=140&amp;col=6&amp;number=4486500&amp;sourceID=48","4486500")</f>
        <v>4486500</v>
      </c>
      <c r="G140" s="4" t="str">
        <f>HYPERLINK("http://141.218.60.56/~jnz1568/getInfo.php?workbook=16_14.xlsx&amp;sheet=A0&amp;row=140&amp;col=7&amp;number=&amp;sourceID=48","")</f>
        <v/>
      </c>
      <c r="H140" s="4" t="str">
        <f>HYPERLINK("http://141.218.60.56/~jnz1568/getInfo.php?workbook=16_14.xlsx&amp;sheet=A0&amp;row=140&amp;col=8&amp;number=&amp;sourceID=48","")</f>
        <v/>
      </c>
      <c r="I140" s="4" t="str">
        <f>HYPERLINK("http://141.218.60.56/~jnz1568/getInfo.php?workbook=16_14.xlsx&amp;sheet=A0&amp;row=140&amp;col=9&amp;number=&amp;sourceID=48","")</f>
        <v/>
      </c>
      <c r="J140" s="4" t="str">
        <f>HYPERLINK("http://141.218.60.56/~jnz1568/getInfo.php?workbook=16_14.xlsx&amp;sheet=A0&amp;row=140&amp;col=10&amp;number=&amp;sourceID=49","")</f>
        <v/>
      </c>
      <c r="K140" s="4" t="str">
        <f>HYPERLINK("http://141.218.60.56/~jnz1568/getInfo.php?workbook=16_14.xlsx&amp;sheet=A0&amp;row=140&amp;col=11&amp;number=&amp;sourceID=49","")</f>
        <v/>
      </c>
    </row>
    <row r="141" spans="1:11">
      <c r="A141" s="3">
        <v>16</v>
      </c>
      <c r="B141" s="3">
        <v>14</v>
      </c>
      <c r="C141" s="3">
        <v>33</v>
      </c>
      <c r="D141" s="3">
        <v>14</v>
      </c>
      <c r="E141" s="3">
        <f>((1/(INDEX(E0!J$4:J$47,C141,1)-INDEX(E0!J$4:J$47,D141,1))))*100000000</f>
        <v>0</v>
      </c>
      <c r="F141" s="4" t="str">
        <f>HYPERLINK("http://141.218.60.56/~jnz1568/getInfo.php?workbook=16_14.xlsx&amp;sheet=A0&amp;row=141&amp;col=6&amp;number=300180000&amp;sourceID=48","300180000")</f>
        <v>300180000</v>
      </c>
      <c r="G141" s="4" t="str">
        <f>HYPERLINK("http://141.218.60.56/~jnz1568/getInfo.php?workbook=16_14.xlsx&amp;sheet=A0&amp;row=141&amp;col=7&amp;number=&amp;sourceID=48","")</f>
        <v/>
      </c>
      <c r="H141" s="4" t="str">
        <f>HYPERLINK("http://141.218.60.56/~jnz1568/getInfo.php?workbook=16_14.xlsx&amp;sheet=A0&amp;row=141&amp;col=8&amp;number=&amp;sourceID=48","")</f>
        <v/>
      </c>
      <c r="I141" s="4" t="str">
        <f>HYPERLINK("http://141.218.60.56/~jnz1568/getInfo.php?workbook=16_14.xlsx&amp;sheet=A0&amp;row=141&amp;col=9&amp;number=&amp;sourceID=48","")</f>
        <v/>
      </c>
      <c r="J141" s="4" t="str">
        <f>HYPERLINK("http://141.218.60.56/~jnz1568/getInfo.php?workbook=16_14.xlsx&amp;sheet=A0&amp;row=141&amp;col=10&amp;number=&amp;sourceID=49","")</f>
        <v/>
      </c>
      <c r="K141" s="4" t="str">
        <f>HYPERLINK("http://141.218.60.56/~jnz1568/getInfo.php?workbook=16_14.xlsx&amp;sheet=A0&amp;row=141&amp;col=11&amp;number=&amp;sourceID=49","")</f>
        <v/>
      </c>
    </row>
    <row r="142" spans="1:11">
      <c r="A142" s="3">
        <v>16</v>
      </c>
      <c r="B142" s="3">
        <v>14</v>
      </c>
      <c r="C142" s="3">
        <v>33</v>
      </c>
      <c r="D142" s="3">
        <v>17</v>
      </c>
      <c r="E142" s="3">
        <f>((1/(INDEX(E0!J$4:J$47,C142,1)-INDEX(E0!J$4:J$47,D142,1))))*100000000</f>
        <v>0</v>
      </c>
      <c r="F142" s="4" t="str">
        <f>HYPERLINK("http://141.218.60.56/~jnz1568/getInfo.php?workbook=16_14.xlsx&amp;sheet=A0&amp;row=142&amp;col=6&amp;number=19859&amp;sourceID=48","19859")</f>
        <v>19859</v>
      </c>
      <c r="G142" s="4" t="str">
        <f>HYPERLINK("http://141.218.60.56/~jnz1568/getInfo.php?workbook=16_14.xlsx&amp;sheet=A0&amp;row=142&amp;col=7&amp;number=&amp;sourceID=48","")</f>
        <v/>
      </c>
      <c r="H142" s="4" t="str">
        <f>HYPERLINK("http://141.218.60.56/~jnz1568/getInfo.php?workbook=16_14.xlsx&amp;sheet=A0&amp;row=142&amp;col=8&amp;number=&amp;sourceID=48","")</f>
        <v/>
      </c>
      <c r="I142" s="4" t="str">
        <f>HYPERLINK("http://141.218.60.56/~jnz1568/getInfo.php?workbook=16_14.xlsx&amp;sheet=A0&amp;row=142&amp;col=9&amp;number=&amp;sourceID=48","")</f>
        <v/>
      </c>
      <c r="J142" s="4" t="str">
        <f>HYPERLINK("http://141.218.60.56/~jnz1568/getInfo.php?workbook=16_14.xlsx&amp;sheet=A0&amp;row=142&amp;col=10&amp;number=&amp;sourceID=49","")</f>
        <v/>
      </c>
      <c r="K142" s="4" t="str">
        <f>HYPERLINK("http://141.218.60.56/~jnz1568/getInfo.php?workbook=16_14.xlsx&amp;sheet=A0&amp;row=142&amp;col=11&amp;number=&amp;sourceID=49","")</f>
        <v/>
      </c>
    </row>
    <row r="143" spans="1:11">
      <c r="A143" s="3">
        <v>16</v>
      </c>
      <c r="B143" s="3">
        <v>14</v>
      </c>
      <c r="C143" s="3">
        <v>33</v>
      </c>
      <c r="D143" s="3">
        <v>18</v>
      </c>
      <c r="E143" s="3">
        <f>((1/(INDEX(E0!J$4:J$47,C143,1)-INDEX(E0!J$4:J$47,D143,1))))*100000000</f>
        <v>0</v>
      </c>
      <c r="F143" s="4" t="str">
        <f>HYPERLINK("http://141.218.60.56/~jnz1568/getInfo.php?workbook=16_14.xlsx&amp;sheet=A0&amp;row=143&amp;col=6&amp;number=15068&amp;sourceID=48","15068")</f>
        <v>15068</v>
      </c>
      <c r="G143" s="4" t="str">
        <f>HYPERLINK("http://141.218.60.56/~jnz1568/getInfo.php?workbook=16_14.xlsx&amp;sheet=A0&amp;row=143&amp;col=7&amp;number=&amp;sourceID=48","")</f>
        <v/>
      </c>
      <c r="H143" s="4" t="str">
        <f>HYPERLINK("http://141.218.60.56/~jnz1568/getInfo.php?workbook=16_14.xlsx&amp;sheet=A0&amp;row=143&amp;col=8&amp;number=&amp;sourceID=48","")</f>
        <v/>
      </c>
      <c r="I143" s="4" t="str">
        <f>HYPERLINK("http://141.218.60.56/~jnz1568/getInfo.php?workbook=16_14.xlsx&amp;sheet=A0&amp;row=143&amp;col=9&amp;number=&amp;sourceID=48","")</f>
        <v/>
      </c>
      <c r="J143" s="4" t="str">
        <f>HYPERLINK("http://141.218.60.56/~jnz1568/getInfo.php?workbook=16_14.xlsx&amp;sheet=A0&amp;row=143&amp;col=10&amp;number=&amp;sourceID=49","")</f>
        <v/>
      </c>
      <c r="K143" s="4" t="str">
        <f>HYPERLINK("http://141.218.60.56/~jnz1568/getInfo.php?workbook=16_14.xlsx&amp;sheet=A0&amp;row=143&amp;col=11&amp;number=&amp;sourceID=49","")</f>
        <v/>
      </c>
    </row>
    <row r="144" spans="1:11">
      <c r="A144" s="3">
        <v>16</v>
      </c>
      <c r="B144" s="3">
        <v>14</v>
      </c>
      <c r="C144" s="3">
        <v>33</v>
      </c>
      <c r="D144" s="3">
        <v>19</v>
      </c>
      <c r="E144" s="3">
        <f>((1/(INDEX(E0!J$4:J$47,C144,1)-INDEX(E0!J$4:J$47,D144,1))))*100000000</f>
        <v>0</v>
      </c>
      <c r="F144" s="4" t="str">
        <f>HYPERLINK("http://141.218.60.56/~jnz1568/getInfo.php?workbook=16_14.xlsx&amp;sheet=A0&amp;row=144&amp;col=6&amp;number=47683000&amp;sourceID=48","47683000")</f>
        <v>47683000</v>
      </c>
      <c r="G144" s="4" t="str">
        <f>HYPERLINK("http://141.218.60.56/~jnz1568/getInfo.php?workbook=16_14.xlsx&amp;sheet=A0&amp;row=144&amp;col=7&amp;number=&amp;sourceID=48","")</f>
        <v/>
      </c>
      <c r="H144" s="4" t="str">
        <f>HYPERLINK("http://141.218.60.56/~jnz1568/getInfo.php?workbook=16_14.xlsx&amp;sheet=A0&amp;row=144&amp;col=8&amp;number=&amp;sourceID=48","")</f>
        <v/>
      </c>
      <c r="I144" s="4" t="str">
        <f>HYPERLINK("http://141.218.60.56/~jnz1568/getInfo.php?workbook=16_14.xlsx&amp;sheet=A0&amp;row=144&amp;col=9&amp;number=&amp;sourceID=48","")</f>
        <v/>
      </c>
      <c r="J144" s="4" t="str">
        <f>HYPERLINK("http://141.218.60.56/~jnz1568/getInfo.php?workbook=16_14.xlsx&amp;sheet=A0&amp;row=144&amp;col=10&amp;number=&amp;sourceID=49","")</f>
        <v/>
      </c>
      <c r="K144" s="4" t="str">
        <f>HYPERLINK("http://141.218.60.56/~jnz1568/getInfo.php?workbook=16_14.xlsx&amp;sheet=A0&amp;row=144&amp;col=11&amp;number=&amp;sourceID=49","")</f>
        <v/>
      </c>
    </row>
    <row r="145" spans="1:11">
      <c r="A145" s="3">
        <v>16</v>
      </c>
      <c r="B145" s="3">
        <v>14</v>
      </c>
      <c r="C145" s="3">
        <v>33</v>
      </c>
      <c r="D145" s="3">
        <v>20</v>
      </c>
      <c r="E145" s="3">
        <f>((1/(INDEX(E0!J$4:J$47,C145,1)-INDEX(E0!J$4:J$47,D145,1))))*100000000</f>
        <v>0</v>
      </c>
      <c r="F145" s="4" t="str">
        <f>HYPERLINK("http://141.218.60.56/~jnz1568/getInfo.php?workbook=16_14.xlsx&amp;sheet=A0&amp;row=145&amp;col=6&amp;number=23022000&amp;sourceID=48","23022000")</f>
        <v>23022000</v>
      </c>
      <c r="G145" s="4" t="str">
        <f>HYPERLINK("http://141.218.60.56/~jnz1568/getInfo.php?workbook=16_14.xlsx&amp;sheet=A0&amp;row=145&amp;col=7&amp;number=&amp;sourceID=48","")</f>
        <v/>
      </c>
      <c r="H145" s="4" t="str">
        <f>HYPERLINK("http://141.218.60.56/~jnz1568/getInfo.php?workbook=16_14.xlsx&amp;sheet=A0&amp;row=145&amp;col=8&amp;number=&amp;sourceID=48","")</f>
        <v/>
      </c>
      <c r="I145" s="4" t="str">
        <f>HYPERLINK("http://141.218.60.56/~jnz1568/getInfo.php?workbook=16_14.xlsx&amp;sheet=A0&amp;row=145&amp;col=9&amp;number=&amp;sourceID=48","")</f>
        <v/>
      </c>
      <c r="J145" s="4" t="str">
        <f>HYPERLINK("http://141.218.60.56/~jnz1568/getInfo.php?workbook=16_14.xlsx&amp;sheet=A0&amp;row=145&amp;col=10&amp;number=&amp;sourceID=49","")</f>
        <v/>
      </c>
      <c r="K145" s="4" t="str">
        <f>HYPERLINK("http://141.218.60.56/~jnz1568/getInfo.php?workbook=16_14.xlsx&amp;sheet=A0&amp;row=145&amp;col=11&amp;number=&amp;sourceID=49","")</f>
        <v/>
      </c>
    </row>
    <row r="146" spans="1:11">
      <c r="A146" s="3">
        <v>16</v>
      </c>
      <c r="B146" s="3">
        <v>14</v>
      </c>
      <c r="C146" s="3">
        <v>33</v>
      </c>
      <c r="D146" s="3">
        <v>21</v>
      </c>
      <c r="E146" s="3">
        <f>((1/(INDEX(E0!J$4:J$47,C146,1)-INDEX(E0!J$4:J$47,D146,1))))*100000000</f>
        <v>0</v>
      </c>
      <c r="F146" s="4" t="str">
        <f>HYPERLINK("http://141.218.60.56/~jnz1568/getInfo.php?workbook=16_14.xlsx&amp;sheet=A0&amp;row=146&amp;col=6&amp;number=491530&amp;sourceID=48","491530")</f>
        <v>491530</v>
      </c>
      <c r="G146" s="4" t="str">
        <f>HYPERLINK("http://141.218.60.56/~jnz1568/getInfo.php?workbook=16_14.xlsx&amp;sheet=A0&amp;row=146&amp;col=7&amp;number=&amp;sourceID=48","")</f>
        <v/>
      </c>
      <c r="H146" s="4" t="str">
        <f>HYPERLINK("http://141.218.60.56/~jnz1568/getInfo.php?workbook=16_14.xlsx&amp;sheet=A0&amp;row=146&amp;col=8&amp;number=&amp;sourceID=48","")</f>
        <v/>
      </c>
      <c r="I146" s="4" t="str">
        <f>HYPERLINK("http://141.218.60.56/~jnz1568/getInfo.php?workbook=16_14.xlsx&amp;sheet=A0&amp;row=146&amp;col=9&amp;number=&amp;sourceID=48","")</f>
        <v/>
      </c>
      <c r="J146" s="4" t="str">
        <f>HYPERLINK("http://141.218.60.56/~jnz1568/getInfo.php?workbook=16_14.xlsx&amp;sheet=A0&amp;row=146&amp;col=10&amp;number=&amp;sourceID=49","")</f>
        <v/>
      </c>
      <c r="K146" s="4" t="str">
        <f>HYPERLINK("http://141.218.60.56/~jnz1568/getInfo.php?workbook=16_14.xlsx&amp;sheet=A0&amp;row=146&amp;col=11&amp;number=&amp;sourceID=49","")</f>
        <v/>
      </c>
    </row>
    <row r="147" spans="1:11">
      <c r="A147" s="3">
        <v>16</v>
      </c>
      <c r="B147" s="3">
        <v>14</v>
      </c>
      <c r="C147" s="3">
        <v>33</v>
      </c>
      <c r="D147" s="3">
        <v>22</v>
      </c>
      <c r="E147" s="3">
        <f>((1/(INDEX(E0!J$4:J$47,C147,1)-INDEX(E0!J$4:J$47,D147,1))))*100000000</f>
        <v>0</v>
      </c>
      <c r="F147" s="4" t="str">
        <f>HYPERLINK("http://141.218.60.56/~jnz1568/getInfo.php?workbook=16_14.xlsx&amp;sheet=A0&amp;row=147&amp;col=6&amp;number=29341000&amp;sourceID=48","29341000")</f>
        <v>29341000</v>
      </c>
      <c r="G147" s="4" t="str">
        <f>HYPERLINK("http://141.218.60.56/~jnz1568/getInfo.php?workbook=16_14.xlsx&amp;sheet=A0&amp;row=147&amp;col=7&amp;number=&amp;sourceID=48","")</f>
        <v/>
      </c>
      <c r="H147" s="4" t="str">
        <f>HYPERLINK("http://141.218.60.56/~jnz1568/getInfo.php?workbook=16_14.xlsx&amp;sheet=A0&amp;row=147&amp;col=8&amp;number=&amp;sourceID=48","")</f>
        <v/>
      </c>
      <c r="I147" s="4" t="str">
        <f>HYPERLINK("http://141.218.60.56/~jnz1568/getInfo.php?workbook=16_14.xlsx&amp;sheet=A0&amp;row=147&amp;col=9&amp;number=&amp;sourceID=48","")</f>
        <v/>
      </c>
      <c r="J147" s="4" t="str">
        <f>HYPERLINK("http://141.218.60.56/~jnz1568/getInfo.php?workbook=16_14.xlsx&amp;sheet=A0&amp;row=147&amp;col=10&amp;number=&amp;sourceID=49","")</f>
        <v/>
      </c>
      <c r="K147" s="4" t="str">
        <f>HYPERLINK("http://141.218.60.56/~jnz1568/getInfo.php?workbook=16_14.xlsx&amp;sheet=A0&amp;row=147&amp;col=11&amp;number=&amp;sourceID=49","")</f>
        <v/>
      </c>
    </row>
    <row r="148" spans="1:11">
      <c r="A148" s="3">
        <v>16</v>
      </c>
      <c r="B148" s="3">
        <v>14</v>
      </c>
      <c r="C148" s="3">
        <v>33</v>
      </c>
      <c r="D148" s="3">
        <v>23</v>
      </c>
      <c r="E148" s="3">
        <f>((1/(INDEX(E0!J$4:J$47,C148,1)-INDEX(E0!J$4:J$47,D148,1))))*100000000</f>
        <v>0</v>
      </c>
      <c r="F148" s="4" t="str">
        <f>HYPERLINK("http://141.218.60.56/~jnz1568/getInfo.php?workbook=16_14.xlsx&amp;sheet=A0&amp;row=148&amp;col=6&amp;number=17651000&amp;sourceID=48","17651000")</f>
        <v>17651000</v>
      </c>
      <c r="G148" s="4" t="str">
        <f>HYPERLINK("http://141.218.60.56/~jnz1568/getInfo.php?workbook=16_14.xlsx&amp;sheet=A0&amp;row=148&amp;col=7&amp;number=&amp;sourceID=48","")</f>
        <v/>
      </c>
      <c r="H148" s="4" t="str">
        <f>HYPERLINK("http://141.218.60.56/~jnz1568/getInfo.php?workbook=16_14.xlsx&amp;sheet=A0&amp;row=148&amp;col=8&amp;number=&amp;sourceID=48","")</f>
        <v/>
      </c>
      <c r="I148" s="4" t="str">
        <f>HYPERLINK("http://141.218.60.56/~jnz1568/getInfo.php?workbook=16_14.xlsx&amp;sheet=A0&amp;row=148&amp;col=9&amp;number=&amp;sourceID=48","")</f>
        <v/>
      </c>
      <c r="J148" s="4" t="str">
        <f>HYPERLINK("http://141.218.60.56/~jnz1568/getInfo.php?workbook=16_14.xlsx&amp;sheet=A0&amp;row=148&amp;col=10&amp;number=&amp;sourceID=49","")</f>
        <v/>
      </c>
      <c r="K148" s="4" t="str">
        <f>HYPERLINK("http://141.218.60.56/~jnz1568/getInfo.php?workbook=16_14.xlsx&amp;sheet=A0&amp;row=148&amp;col=11&amp;number=&amp;sourceID=49","")</f>
        <v/>
      </c>
    </row>
    <row r="149" spans="1:11">
      <c r="A149" s="3">
        <v>16</v>
      </c>
      <c r="B149" s="3">
        <v>14</v>
      </c>
      <c r="C149" s="3">
        <v>33</v>
      </c>
      <c r="D149" s="3">
        <v>24</v>
      </c>
      <c r="E149" s="3">
        <f>((1/(INDEX(E0!J$4:J$47,C149,1)-INDEX(E0!J$4:J$47,D149,1))))*100000000</f>
        <v>0</v>
      </c>
      <c r="F149" s="4" t="str">
        <f>HYPERLINK("http://141.218.60.56/~jnz1568/getInfo.php?workbook=16_14.xlsx&amp;sheet=A0&amp;row=149&amp;col=6&amp;number=2303100&amp;sourceID=48","2303100")</f>
        <v>2303100</v>
      </c>
      <c r="G149" s="4" t="str">
        <f>HYPERLINK("http://141.218.60.56/~jnz1568/getInfo.php?workbook=16_14.xlsx&amp;sheet=A0&amp;row=149&amp;col=7&amp;number=&amp;sourceID=48","")</f>
        <v/>
      </c>
      <c r="H149" s="4" t="str">
        <f>HYPERLINK("http://141.218.60.56/~jnz1568/getInfo.php?workbook=16_14.xlsx&amp;sheet=A0&amp;row=149&amp;col=8&amp;number=&amp;sourceID=48","")</f>
        <v/>
      </c>
      <c r="I149" s="4" t="str">
        <f>HYPERLINK("http://141.218.60.56/~jnz1568/getInfo.php?workbook=16_14.xlsx&amp;sheet=A0&amp;row=149&amp;col=9&amp;number=&amp;sourceID=48","")</f>
        <v/>
      </c>
      <c r="J149" s="4" t="str">
        <f>HYPERLINK("http://141.218.60.56/~jnz1568/getInfo.php?workbook=16_14.xlsx&amp;sheet=A0&amp;row=149&amp;col=10&amp;number=&amp;sourceID=49","")</f>
        <v/>
      </c>
      <c r="K149" s="4" t="str">
        <f>HYPERLINK("http://141.218.60.56/~jnz1568/getInfo.php?workbook=16_14.xlsx&amp;sheet=A0&amp;row=149&amp;col=11&amp;number=&amp;sourceID=49","")</f>
        <v/>
      </c>
    </row>
    <row r="150" spans="1:11">
      <c r="A150" s="3">
        <v>16</v>
      </c>
      <c r="B150" s="3">
        <v>14</v>
      </c>
      <c r="C150" s="3">
        <v>33</v>
      </c>
      <c r="D150" s="3">
        <v>25</v>
      </c>
      <c r="E150" s="3">
        <f>((1/(INDEX(E0!J$4:J$47,C150,1)-INDEX(E0!J$4:J$47,D150,1))))*100000000</f>
        <v>0</v>
      </c>
      <c r="F150" s="4" t="str">
        <f>HYPERLINK("http://141.218.60.56/~jnz1568/getInfo.php?workbook=16_14.xlsx&amp;sheet=A0&amp;row=150&amp;col=6&amp;number=2198800&amp;sourceID=48","2198800")</f>
        <v>2198800</v>
      </c>
      <c r="G150" s="4" t="str">
        <f>HYPERLINK("http://141.218.60.56/~jnz1568/getInfo.php?workbook=16_14.xlsx&amp;sheet=A0&amp;row=150&amp;col=7&amp;number=&amp;sourceID=48","")</f>
        <v/>
      </c>
      <c r="H150" s="4" t="str">
        <f>HYPERLINK("http://141.218.60.56/~jnz1568/getInfo.php?workbook=16_14.xlsx&amp;sheet=A0&amp;row=150&amp;col=8&amp;number=&amp;sourceID=48","")</f>
        <v/>
      </c>
      <c r="I150" s="4" t="str">
        <f>HYPERLINK("http://141.218.60.56/~jnz1568/getInfo.php?workbook=16_14.xlsx&amp;sheet=A0&amp;row=150&amp;col=9&amp;number=&amp;sourceID=48","")</f>
        <v/>
      </c>
      <c r="J150" s="4" t="str">
        <f>HYPERLINK("http://141.218.60.56/~jnz1568/getInfo.php?workbook=16_14.xlsx&amp;sheet=A0&amp;row=150&amp;col=10&amp;number=&amp;sourceID=49","")</f>
        <v/>
      </c>
      <c r="K150" s="4" t="str">
        <f>HYPERLINK("http://141.218.60.56/~jnz1568/getInfo.php?workbook=16_14.xlsx&amp;sheet=A0&amp;row=150&amp;col=11&amp;number=&amp;sourceID=49","")</f>
        <v/>
      </c>
    </row>
    <row r="151" spans="1:11">
      <c r="A151" s="3">
        <v>16</v>
      </c>
      <c r="B151" s="3">
        <v>14</v>
      </c>
      <c r="C151" s="3">
        <v>33</v>
      </c>
      <c r="D151" s="3">
        <v>26</v>
      </c>
      <c r="E151" s="3">
        <f>((1/(INDEX(E0!J$4:J$47,C151,1)-INDEX(E0!J$4:J$47,D151,1))))*100000000</f>
        <v>0</v>
      </c>
      <c r="F151" s="4" t="str">
        <f>HYPERLINK("http://141.218.60.56/~jnz1568/getInfo.php?workbook=16_14.xlsx&amp;sheet=A0&amp;row=151&amp;col=6&amp;number=1732200&amp;sourceID=48","1732200")</f>
        <v>1732200</v>
      </c>
      <c r="G151" s="4" t="str">
        <f>HYPERLINK("http://141.218.60.56/~jnz1568/getInfo.php?workbook=16_14.xlsx&amp;sheet=A0&amp;row=151&amp;col=7&amp;number=&amp;sourceID=48","")</f>
        <v/>
      </c>
      <c r="H151" s="4" t="str">
        <f>HYPERLINK("http://141.218.60.56/~jnz1568/getInfo.php?workbook=16_14.xlsx&amp;sheet=A0&amp;row=151&amp;col=8&amp;number=&amp;sourceID=48","")</f>
        <v/>
      </c>
      <c r="I151" s="4" t="str">
        <f>HYPERLINK("http://141.218.60.56/~jnz1568/getInfo.php?workbook=16_14.xlsx&amp;sheet=A0&amp;row=151&amp;col=9&amp;number=&amp;sourceID=48","")</f>
        <v/>
      </c>
      <c r="J151" s="4" t="str">
        <f>HYPERLINK("http://141.218.60.56/~jnz1568/getInfo.php?workbook=16_14.xlsx&amp;sheet=A0&amp;row=151&amp;col=10&amp;number=&amp;sourceID=49","")</f>
        <v/>
      </c>
      <c r="K151" s="4" t="str">
        <f>HYPERLINK("http://141.218.60.56/~jnz1568/getInfo.php?workbook=16_14.xlsx&amp;sheet=A0&amp;row=151&amp;col=11&amp;number=&amp;sourceID=49","")</f>
        <v/>
      </c>
    </row>
    <row r="152" spans="1:11">
      <c r="A152" s="3">
        <v>16</v>
      </c>
      <c r="B152" s="3">
        <v>14</v>
      </c>
      <c r="C152" s="3">
        <v>33</v>
      </c>
      <c r="D152" s="3">
        <v>28</v>
      </c>
      <c r="E152" s="3">
        <f>((1/(INDEX(E0!J$4:J$47,C152,1)-INDEX(E0!J$4:J$47,D152,1))))*100000000</f>
        <v>0</v>
      </c>
      <c r="F152" s="4" t="str">
        <f>HYPERLINK("http://141.218.60.56/~jnz1568/getInfo.php?workbook=16_14.xlsx&amp;sheet=A0&amp;row=152&amp;col=6&amp;number=6976800&amp;sourceID=48","6976800")</f>
        <v>6976800</v>
      </c>
      <c r="G152" s="4" t="str">
        <f>HYPERLINK("http://141.218.60.56/~jnz1568/getInfo.php?workbook=16_14.xlsx&amp;sheet=A0&amp;row=152&amp;col=7&amp;number=&amp;sourceID=48","")</f>
        <v/>
      </c>
      <c r="H152" s="4" t="str">
        <f>HYPERLINK("http://141.218.60.56/~jnz1568/getInfo.php?workbook=16_14.xlsx&amp;sheet=A0&amp;row=152&amp;col=8&amp;number=&amp;sourceID=48","")</f>
        <v/>
      </c>
      <c r="I152" s="4" t="str">
        <f>HYPERLINK("http://141.218.60.56/~jnz1568/getInfo.php?workbook=16_14.xlsx&amp;sheet=A0&amp;row=152&amp;col=9&amp;number=&amp;sourceID=48","")</f>
        <v/>
      </c>
      <c r="J152" s="4" t="str">
        <f>HYPERLINK("http://141.218.60.56/~jnz1568/getInfo.php?workbook=16_14.xlsx&amp;sheet=A0&amp;row=152&amp;col=10&amp;number=&amp;sourceID=49","")</f>
        <v/>
      </c>
      <c r="K152" s="4" t="str">
        <f>HYPERLINK("http://141.218.60.56/~jnz1568/getInfo.php?workbook=16_14.xlsx&amp;sheet=A0&amp;row=152&amp;col=11&amp;number=&amp;sourceID=49","")</f>
        <v/>
      </c>
    </row>
    <row r="153" spans="1:11">
      <c r="A153" s="3">
        <v>16</v>
      </c>
      <c r="B153" s="3">
        <v>14</v>
      </c>
      <c r="C153" s="3">
        <v>33</v>
      </c>
      <c r="D153" s="3">
        <v>29</v>
      </c>
      <c r="E153" s="3">
        <f>((1/(INDEX(E0!J$4:J$47,C153,1)-INDEX(E0!J$4:J$47,D153,1))))*100000000</f>
        <v>0</v>
      </c>
      <c r="F153" s="4" t="str">
        <f>HYPERLINK("http://141.218.60.56/~jnz1568/getInfo.php?workbook=16_14.xlsx&amp;sheet=A0&amp;row=153&amp;col=6&amp;number=130770&amp;sourceID=48","130770")</f>
        <v>130770</v>
      </c>
      <c r="G153" s="4" t="str">
        <f>HYPERLINK("http://141.218.60.56/~jnz1568/getInfo.php?workbook=16_14.xlsx&amp;sheet=A0&amp;row=153&amp;col=7&amp;number=&amp;sourceID=48","")</f>
        <v/>
      </c>
      <c r="H153" s="4" t="str">
        <f>HYPERLINK("http://141.218.60.56/~jnz1568/getInfo.php?workbook=16_14.xlsx&amp;sheet=A0&amp;row=153&amp;col=8&amp;number=&amp;sourceID=48","")</f>
        <v/>
      </c>
      <c r="I153" s="4" t="str">
        <f>HYPERLINK("http://141.218.60.56/~jnz1568/getInfo.php?workbook=16_14.xlsx&amp;sheet=A0&amp;row=153&amp;col=9&amp;number=&amp;sourceID=48","")</f>
        <v/>
      </c>
      <c r="J153" s="4" t="str">
        <f>HYPERLINK("http://141.218.60.56/~jnz1568/getInfo.php?workbook=16_14.xlsx&amp;sheet=A0&amp;row=153&amp;col=10&amp;number=&amp;sourceID=49","")</f>
        <v/>
      </c>
      <c r="K153" s="4" t="str">
        <f>HYPERLINK("http://141.218.60.56/~jnz1568/getInfo.php?workbook=16_14.xlsx&amp;sheet=A0&amp;row=153&amp;col=11&amp;number=&amp;sourceID=49","")</f>
        <v/>
      </c>
    </row>
    <row r="154" spans="1:11">
      <c r="A154" s="3">
        <v>16</v>
      </c>
      <c r="B154" s="3">
        <v>14</v>
      </c>
      <c r="C154" s="3">
        <v>33</v>
      </c>
      <c r="D154" s="3">
        <v>31</v>
      </c>
      <c r="E154" s="3">
        <f>((1/(INDEX(E0!J$4:J$47,C154,1)-INDEX(E0!J$4:J$47,D154,1))))*100000000</f>
        <v>0</v>
      </c>
      <c r="F154" s="4" t="str">
        <f>HYPERLINK("http://141.218.60.56/~jnz1568/getInfo.php?workbook=16_14.xlsx&amp;sheet=A0&amp;row=154&amp;col=6&amp;number=171.96&amp;sourceID=48","171.96")</f>
        <v>171.96</v>
      </c>
      <c r="G154" s="4" t="str">
        <f>HYPERLINK("http://141.218.60.56/~jnz1568/getInfo.php?workbook=16_14.xlsx&amp;sheet=A0&amp;row=154&amp;col=7&amp;number=&amp;sourceID=48","")</f>
        <v/>
      </c>
      <c r="H154" s="4" t="str">
        <f>HYPERLINK("http://141.218.60.56/~jnz1568/getInfo.php?workbook=16_14.xlsx&amp;sheet=A0&amp;row=154&amp;col=8&amp;number=&amp;sourceID=48","")</f>
        <v/>
      </c>
      <c r="I154" s="4" t="str">
        <f>HYPERLINK("http://141.218.60.56/~jnz1568/getInfo.php?workbook=16_14.xlsx&amp;sheet=A0&amp;row=154&amp;col=9&amp;number=&amp;sourceID=48","")</f>
        <v/>
      </c>
      <c r="J154" s="4" t="str">
        <f>HYPERLINK("http://141.218.60.56/~jnz1568/getInfo.php?workbook=16_14.xlsx&amp;sheet=A0&amp;row=154&amp;col=10&amp;number=&amp;sourceID=49","")</f>
        <v/>
      </c>
      <c r="K154" s="4" t="str">
        <f>HYPERLINK("http://141.218.60.56/~jnz1568/getInfo.php?workbook=16_14.xlsx&amp;sheet=A0&amp;row=154&amp;col=11&amp;number=&amp;sourceID=49","")</f>
        <v/>
      </c>
    </row>
    <row r="155" spans="1:11">
      <c r="A155" s="3">
        <v>16</v>
      </c>
      <c r="B155" s="3">
        <v>14</v>
      </c>
      <c r="C155" s="3">
        <v>34</v>
      </c>
      <c r="D155" s="3">
        <v>6</v>
      </c>
      <c r="E155" s="3">
        <f>((1/(INDEX(E0!J$4:J$47,C155,1)-INDEX(E0!J$4:J$47,D155,1))))*100000000</f>
        <v>0</v>
      </c>
      <c r="F155" s="4" t="str">
        <f>HYPERLINK("http://141.218.60.56/~jnz1568/getInfo.php?workbook=16_14.xlsx&amp;sheet=A0&amp;row=155&amp;col=6&amp;number=749.77&amp;sourceID=48","749.77")</f>
        <v>749.77</v>
      </c>
      <c r="G155" s="4" t="str">
        <f>HYPERLINK("http://141.218.60.56/~jnz1568/getInfo.php?workbook=16_14.xlsx&amp;sheet=A0&amp;row=155&amp;col=7&amp;number=&amp;sourceID=48","")</f>
        <v/>
      </c>
      <c r="H155" s="4" t="str">
        <f>HYPERLINK("http://141.218.60.56/~jnz1568/getInfo.php?workbook=16_14.xlsx&amp;sheet=A0&amp;row=155&amp;col=8&amp;number=&amp;sourceID=48","")</f>
        <v/>
      </c>
      <c r="I155" s="4" t="str">
        <f>HYPERLINK("http://141.218.60.56/~jnz1568/getInfo.php?workbook=16_14.xlsx&amp;sheet=A0&amp;row=155&amp;col=9&amp;number=&amp;sourceID=48","")</f>
        <v/>
      </c>
      <c r="J155" s="4" t="str">
        <f>HYPERLINK("http://141.218.60.56/~jnz1568/getInfo.php?workbook=16_14.xlsx&amp;sheet=A0&amp;row=155&amp;col=10&amp;number=&amp;sourceID=49","")</f>
        <v/>
      </c>
      <c r="K155" s="4" t="str">
        <f>HYPERLINK("http://141.218.60.56/~jnz1568/getInfo.php?workbook=16_14.xlsx&amp;sheet=A0&amp;row=155&amp;col=11&amp;number=&amp;sourceID=49","")</f>
        <v/>
      </c>
    </row>
    <row r="156" spans="1:11">
      <c r="A156" s="3">
        <v>16</v>
      </c>
      <c r="B156" s="3">
        <v>14</v>
      </c>
      <c r="C156" s="3">
        <v>34</v>
      </c>
      <c r="D156" s="3">
        <v>7</v>
      </c>
      <c r="E156" s="3">
        <f>((1/(INDEX(E0!J$4:J$47,C156,1)-INDEX(E0!J$4:J$47,D156,1))))*100000000</f>
        <v>0</v>
      </c>
      <c r="F156" s="4" t="str">
        <f>HYPERLINK("http://141.218.60.56/~jnz1568/getInfo.php?workbook=16_14.xlsx&amp;sheet=A0&amp;row=156&amp;col=6&amp;number=5500200&amp;sourceID=48","5500200")</f>
        <v>5500200</v>
      </c>
      <c r="G156" s="4" t="str">
        <f>HYPERLINK("http://141.218.60.56/~jnz1568/getInfo.php?workbook=16_14.xlsx&amp;sheet=A0&amp;row=156&amp;col=7&amp;number=&amp;sourceID=48","")</f>
        <v/>
      </c>
      <c r="H156" s="4" t="str">
        <f>HYPERLINK("http://141.218.60.56/~jnz1568/getInfo.php?workbook=16_14.xlsx&amp;sheet=A0&amp;row=156&amp;col=8&amp;number=&amp;sourceID=48","")</f>
        <v/>
      </c>
      <c r="I156" s="4" t="str">
        <f>HYPERLINK("http://141.218.60.56/~jnz1568/getInfo.php?workbook=16_14.xlsx&amp;sheet=A0&amp;row=156&amp;col=9&amp;number=&amp;sourceID=48","")</f>
        <v/>
      </c>
      <c r="J156" s="4" t="str">
        <f>HYPERLINK("http://141.218.60.56/~jnz1568/getInfo.php?workbook=16_14.xlsx&amp;sheet=A0&amp;row=156&amp;col=10&amp;number=&amp;sourceID=49","")</f>
        <v/>
      </c>
      <c r="K156" s="4" t="str">
        <f>HYPERLINK("http://141.218.60.56/~jnz1568/getInfo.php?workbook=16_14.xlsx&amp;sheet=A0&amp;row=156&amp;col=11&amp;number=&amp;sourceID=49","")</f>
        <v/>
      </c>
    </row>
    <row r="157" spans="1:11">
      <c r="A157" s="3">
        <v>16</v>
      </c>
      <c r="B157" s="3">
        <v>14</v>
      </c>
      <c r="C157" s="3">
        <v>34</v>
      </c>
      <c r="D157" s="3">
        <v>8</v>
      </c>
      <c r="E157" s="3">
        <f>((1/(INDEX(E0!J$4:J$47,C157,1)-INDEX(E0!J$4:J$47,D157,1))))*100000000</f>
        <v>0</v>
      </c>
      <c r="F157" s="4" t="str">
        <f>HYPERLINK("http://141.218.60.56/~jnz1568/getInfo.php?workbook=16_14.xlsx&amp;sheet=A0&amp;row=157&amp;col=6&amp;number=25471000&amp;sourceID=48","25471000")</f>
        <v>25471000</v>
      </c>
      <c r="G157" s="4" t="str">
        <f>HYPERLINK("http://141.218.60.56/~jnz1568/getInfo.php?workbook=16_14.xlsx&amp;sheet=A0&amp;row=157&amp;col=7&amp;number=&amp;sourceID=48","")</f>
        <v/>
      </c>
      <c r="H157" s="4" t="str">
        <f>HYPERLINK("http://141.218.60.56/~jnz1568/getInfo.php?workbook=16_14.xlsx&amp;sheet=A0&amp;row=157&amp;col=8&amp;number=&amp;sourceID=48","")</f>
        <v/>
      </c>
      <c r="I157" s="4" t="str">
        <f>HYPERLINK("http://141.218.60.56/~jnz1568/getInfo.php?workbook=16_14.xlsx&amp;sheet=A0&amp;row=157&amp;col=9&amp;number=&amp;sourceID=48","")</f>
        <v/>
      </c>
      <c r="J157" s="4" t="str">
        <f>HYPERLINK("http://141.218.60.56/~jnz1568/getInfo.php?workbook=16_14.xlsx&amp;sheet=A0&amp;row=157&amp;col=10&amp;number=&amp;sourceID=49","")</f>
        <v/>
      </c>
      <c r="K157" s="4" t="str">
        <f>HYPERLINK("http://141.218.60.56/~jnz1568/getInfo.php?workbook=16_14.xlsx&amp;sheet=A0&amp;row=157&amp;col=11&amp;number=&amp;sourceID=49","")</f>
        <v/>
      </c>
    </row>
    <row r="158" spans="1:11">
      <c r="A158" s="3">
        <v>16</v>
      </c>
      <c r="B158" s="3">
        <v>14</v>
      </c>
      <c r="C158" s="3">
        <v>34</v>
      </c>
      <c r="D158" s="3">
        <v>9</v>
      </c>
      <c r="E158" s="3">
        <f>((1/(INDEX(E0!J$4:J$47,C158,1)-INDEX(E0!J$4:J$47,D158,1))))*100000000</f>
        <v>0</v>
      </c>
      <c r="F158" s="4" t="str">
        <f>HYPERLINK("http://141.218.60.56/~jnz1568/getInfo.php?workbook=16_14.xlsx&amp;sheet=A0&amp;row=158&amp;col=6&amp;number=11954000&amp;sourceID=48","11954000")</f>
        <v>11954000</v>
      </c>
      <c r="G158" s="4" t="str">
        <f>HYPERLINK("http://141.218.60.56/~jnz1568/getInfo.php?workbook=16_14.xlsx&amp;sheet=A0&amp;row=158&amp;col=7&amp;number=&amp;sourceID=48","")</f>
        <v/>
      </c>
      <c r="H158" s="4" t="str">
        <f>HYPERLINK("http://141.218.60.56/~jnz1568/getInfo.php?workbook=16_14.xlsx&amp;sheet=A0&amp;row=158&amp;col=8&amp;number=&amp;sourceID=48","")</f>
        <v/>
      </c>
      <c r="I158" s="4" t="str">
        <f>HYPERLINK("http://141.218.60.56/~jnz1568/getInfo.php?workbook=16_14.xlsx&amp;sheet=A0&amp;row=158&amp;col=9&amp;number=&amp;sourceID=48","")</f>
        <v/>
      </c>
      <c r="J158" s="4" t="str">
        <f>HYPERLINK("http://141.218.60.56/~jnz1568/getInfo.php?workbook=16_14.xlsx&amp;sheet=A0&amp;row=158&amp;col=10&amp;number=&amp;sourceID=49","")</f>
        <v/>
      </c>
      <c r="K158" s="4" t="str">
        <f>HYPERLINK("http://141.218.60.56/~jnz1568/getInfo.php?workbook=16_14.xlsx&amp;sheet=A0&amp;row=158&amp;col=11&amp;number=&amp;sourceID=49","")</f>
        <v/>
      </c>
    </row>
    <row r="159" spans="1:11">
      <c r="A159" s="3">
        <v>16</v>
      </c>
      <c r="B159" s="3">
        <v>14</v>
      </c>
      <c r="C159" s="3">
        <v>34</v>
      </c>
      <c r="D159" s="3">
        <v>10</v>
      </c>
      <c r="E159" s="3">
        <f>((1/(INDEX(E0!J$4:J$47,C159,1)-INDEX(E0!J$4:J$47,D159,1))))*100000000</f>
        <v>0</v>
      </c>
      <c r="F159" s="4" t="str">
        <f>HYPERLINK("http://141.218.60.56/~jnz1568/getInfo.php?workbook=16_14.xlsx&amp;sheet=A0&amp;row=159&amp;col=6&amp;number=2698700&amp;sourceID=48","2698700")</f>
        <v>2698700</v>
      </c>
      <c r="G159" s="4" t="str">
        <f>HYPERLINK("http://141.218.60.56/~jnz1568/getInfo.php?workbook=16_14.xlsx&amp;sheet=A0&amp;row=159&amp;col=7&amp;number=&amp;sourceID=48","")</f>
        <v/>
      </c>
      <c r="H159" s="4" t="str">
        <f>HYPERLINK("http://141.218.60.56/~jnz1568/getInfo.php?workbook=16_14.xlsx&amp;sheet=A0&amp;row=159&amp;col=8&amp;number=&amp;sourceID=48","")</f>
        <v/>
      </c>
      <c r="I159" s="4" t="str">
        <f>HYPERLINK("http://141.218.60.56/~jnz1568/getInfo.php?workbook=16_14.xlsx&amp;sheet=A0&amp;row=159&amp;col=9&amp;number=&amp;sourceID=48","")</f>
        <v/>
      </c>
      <c r="J159" s="4" t="str">
        <f>HYPERLINK("http://141.218.60.56/~jnz1568/getInfo.php?workbook=16_14.xlsx&amp;sheet=A0&amp;row=159&amp;col=10&amp;number=&amp;sourceID=49","")</f>
        <v/>
      </c>
      <c r="K159" s="4" t="str">
        <f>HYPERLINK("http://141.218.60.56/~jnz1568/getInfo.php?workbook=16_14.xlsx&amp;sheet=A0&amp;row=159&amp;col=11&amp;number=&amp;sourceID=49","")</f>
        <v/>
      </c>
    </row>
    <row r="160" spans="1:11">
      <c r="A160" s="3">
        <v>16</v>
      </c>
      <c r="B160" s="3">
        <v>14</v>
      </c>
      <c r="C160" s="3">
        <v>34</v>
      </c>
      <c r="D160" s="3">
        <v>11</v>
      </c>
      <c r="E160" s="3">
        <f>((1/(INDEX(E0!J$4:J$47,C160,1)-INDEX(E0!J$4:J$47,D160,1))))*100000000</f>
        <v>0</v>
      </c>
      <c r="F160" s="4" t="str">
        <f>HYPERLINK("http://141.218.60.56/~jnz1568/getInfo.php?workbook=16_14.xlsx&amp;sheet=A0&amp;row=160&amp;col=6&amp;number=5451200&amp;sourceID=48","5451200")</f>
        <v>5451200</v>
      </c>
      <c r="G160" s="4" t="str">
        <f>HYPERLINK("http://141.218.60.56/~jnz1568/getInfo.php?workbook=16_14.xlsx&amp;sheet=A0&amp;row=160&amp;col=7&amp;number=&amp;sourceID=48","")</f>
        <v/>
      </c>
      <c r="H160" s="4" t="str">
        <f>HYPERLINK("http://141.218.60.56/~jnz1568/getInfo.php?workbook=16_14.xlsx&amp;sheet=A0&amp;row=160&amp;col=8&amp;number=&amp;sourceID=48","")</f>
        <v/>
      </c>
      <c r="I160" s="4" t="str">
        <f>HYPERLINK("http://141.218.60.56/~jnz1568/getInfo.php?workbook=16_14.xlsx&amp;sheet=A0&amp;row=160&amp;col=9&amp;number=&amp;sourceID=48","")</f>
        <v/>
      </c>
      <c r="J160" s="4" t="str">
        <f>HYPERLINK("http://141.218.60.56/~jnz1568/getInfo.php?workbook=16_14.xlsx&amp;sheet=A0&amp;row=160&amp;col=10&amp;number=&amp;sourceID=49","")</f>
        <v/>
      </c>
      <c r="K160" s="4" t="str">
        <f>HYPERLINK("http://141.218.60.56/~jnz1568/getInfo.php?workbook=16_14.xlsx&amp;sheet=A0&amp;row=160&amp;col=11&amp;number=&amp;sourceID=49","")</f>
        <v/>
      </c>
    </row>
    <row r="161" spans="1:11">
      <c r="A161" s="3">
        <v>16</v>
      </c>
      <c r="B161" s="3">
        <v>14</v>
      </c>
      <c r="C161" s="3">
        <v>34</v>
      </c>
      <c r="D161" s="3">
        <v>13</v>
      </c>
      <c r="E161" s="3">
        <f>((1/(INDEX(E0!J$4:J$47,C161,1)-INDEX(E0!J$4:J$47,D161,1))))*100000000</f>
        <v>0</v>
      </c>
      <c r="F161" s="4" t="str">
        <f>HYPERLINK("http://141.218.60.56/~jnz1568/getInfo.php?workbook=16_14.xlsx&amp;sheet=A0&amp;row=161&amp;col=6&amp;number=162540&amp;sourceID=48","162540")</f>
        <v>162540</v>
      </c>
      <c r="G161" s="4" t="str">
        <f>HYPERLINK("http://141.218.60.56/~jnz1568/getInfo.php?workbook=16_14.xlsx&amp;sheet=A0&amp;row=161&amp;col=7&amp;number=&amp;sourceID=48","")</f>
        <v/>
      </c>
      <c r="H161" s="4" t="str">
        <f>HYPERLINK("http://141.218.60.56/~jnz1568/getInfo.php?workbook=16_14.xlsx&amp;sheet=A0&amp;row=161&amp;col=8&amp;number=&amp;sourceID=48","")</f>
        <v/>
      </c>
      <c r="I161" s="4" t="str">
        <f>HYPERLINK("http://141.218.60.56/~jnz1568/getInfo.php?workbook=16_14.xlsx&amp;sheet=A0&amp;row=161&amp;col=9&amp;number=&amp;sourceID=48","")</f>
        <v/>
      </c>
      <c r="J161" s="4" t="str">
        <f>HYPERLINK("http://141.218.60.56/~jnz1568/getInfo.php?workbook=16_14.xlsx&amp;sheet=A0&amp;row=161&amp;col=10&amp;number=&amp;sourceID=49","")</f>
        <v/>
      </c>
      <c r="K161" s="4" t="str">
        <f>HYPERLINK("http://141.218.60.56/~jnz1568/getInfo.php?workbook=16_14.xlsx&amp;sheet=A0&amp;row=161&amp;col=11&amp;number=&amp;sourceID=49","")</f>
        <v/>
      </c>
    </row>
    <row r="162" spans="1:11">
      <c r="A162" s="3">
        <v>16</v>
      </c>
      <c r="B162" s="3">
        <v>14</v>
      </c>
      <c r="C162" s="3">
        <v>34</v>
      </c>
      <c r="D162" s="3">
        <v>14</v>
      </c>
      <c r="E162" s="3">
        <f>((1/(INDEX(E0!J$4:J$47,C162,1)-INDEX(E0!J$4:J$47,D162,1))))*100000000</f>
        <v>0</v>
      </c>
      <c r="F162" s="4" t="str">
        <f>HYPERLINK("http://141.218.60.56/~jnz1568/getInfo.php?workbook=16_14.xlsx&amp;sheet=A0&amp;row=162&amp;col=6&amp;number=33667000&amp;sourceID=48","33667000")</f>
        <v>33667000</v>
      </c>
      <c r="G162" s="4" t="str">
        <f>HYPERLINK("http://141.218.60.56/~jnz1568/getInfo.php?workbook=16_14.xlsx&amp;sheet=A0&amp;row=162&amp;col=7&amp;number=&amp;sourceID=48","")</f>
        <v/>
      </c>
      <c r="H162" s="4" t="str">
        <f>HYPERLINK("http://141.218.60.56/~jnz1568/getInfo.php?workbook=16_14.xlsx&amp;sheet=A0&amp;row=162&amp;col=8&amp;number=&amp;sourceID=48","")</f>
        <v/>
      </c>
      <c r="I162" s="4" t="str">
        <f>HYPERLINK("http://141.218.60.56/~jnz1568/getInfo.php?workbook=16_14.xlsx&amp;sheet=A0&amp;row=162&amp;col=9&amp;number=&amp;sourceID=48","")</f>
        <v/>
      </c>
      <c r="J162" s="4" t="str">
        <f>HYPERLINK("http://141.218.60.56/~jnz1568/getInfo.php?workbook=16_14.xlsx&amp;sheet=A0&amp;row=162&amp;col=10&amp;number=&amp;sourceID=49","")</f>
        <v/>
      </c>
      <c r="K162" s="4" t="str">
        <f>HYPERLINK("http://141.218.60.56/~jnz1568/getInfo.php?workbook=16_14.xlsx&amp;sheet=A0&amp;row=162&amp;col=11&amp;number=&amp;sourceID=49","")</f>
        <v/>
      </c>
    </row>
    <row r="163" spans="1:11">
      <c r="A163" s="3">
        <v>16</v>
      </c>
      <c r="B163" s="3">
        <v>14</v>
      </c>
      <c r="C163" s="3">
        <v>34</v>
      </c>
      <c r="D163" s="3">
        <v>15</v>
      </c>
      <c r="E163" s="3">
        <f>((1/(INDEX(E0!J$4:J$47,C163,1)-INDEX(E0!J$4:J$47,D163,1))))*100000000</f>
        <v>0</v>
      </c>
      <c r="F163" s="4" t="str">
        <f>HYPERLINK("http://141.218.60.56/~jnz1568/getInfo.php?workbook=16_14.xlsx&amp;sheet=A0&amp;row=163&amp;col=6&amp;number=270520000&amp;sourceID=48","270520000")</f>
        <v>270520000</v>
      </c>
      <c r="G163" s="4" t="str">
        <f>HYPERLINK("http://141.218.60.56/~jnz1568/getInfo.php?workbook=16_14.xlsx&amp;sheet=A0&amp;row=163&amp;col=7&amp;number=&amp;sourceID=48","")</f>
        <v/>
      </c>
      <c r="H163" s="4" t="str">
        <f>HYPERLINK("http://141.218.60.56/~jnz1568/getInfo.php?workbook=16_14.xlsx&amp;sheet=A0&amp;row=163&amp;col=8&amp;number=&amp;sourceID=48","")</f>
        <v/>
      </c>
      <c r="I163" s="4" t="str">
        <f>HYPERLINK("http://141.218.60.56/~jnz1568/getInfo.php?workbook=16_14.xlsx&amp;sheet=A0&amp;row=163&amp;col=9&amp;number=&amp;sourceID=48","")</f>
        <v/>
      </c>
      <c r="J163" s="4" t="str">
        <f>HYPERLINK("http://141.218.60.56/~jnz1568/getInfo.php?workbook=16_14.xlsx&amp;sheet=A0&amp;row=163&amp;col=10&amp;number=&amp;sourceID=49","")</f>
        <v/>
      </c>
      <c r="K163" s="4" t="str">
        <f>HYPERLINK("http://141.218.60.56/~jnz1568/getInfo.php?workbook=16_14.xlsx&amp;sheet=A0&amp;row=163&amp;col=11&amp;number=&amp;sourceID=49","")</f>
        <v/>
      </c>
    </row>
    <row r="164" spans="1:11">
      <c r="A164" s="3">
        <v>16</v>
      </c>
      <c r="B164" s="3">
        <v>14</v>
      </c>
      <c r="C164" s="3">
        <v>34</v>
      </c>
      <c r="D164" s="3">
        <v>17</v>
      </c>
      <c r="E164" s="3">
        <f>((1/(INDEX(E0!J$4:J$47,C164,1)-INDEX(E0!J$4:J$47,D164,1))))*100000000</f>
        <v>0</v>
      </c>
      <c r="F164" s="4" t="str">
        <f>HYPERLINK("http://141.218.60.56/~jnz1568/getInfo.php?workbook=16_14.xlsx&amp;sheet=A0&amp;row=164&amp;col=6&amp;number=94243&amp;sourceID=48","94243")</f>
        <v>94243</v>
      </c>
      <c r="G164" s="4" t="str">
        <f>HYPERLINK("http://141.218.60.56/~jnz1568/getInfo.php?workbook=16_14.xlsx&amp;sheet=A0&amp;row=164&amp;col=7&amp;number=&amp;sourceID=48","")</f>
        <v/>
      </c>
      <c r="H164" s="4" t="str">
        <f>HYPERLINK("http://141.218.60.56/~jnz1568/getInfo.php?workbook=16_14.xlsx&amp;sheet=A0&amp;row=164&amp;col=8&amp;number=&amp;sourceID=48","")</f>
        <v/>
      </c>
      <c r="I164" s="4" t="str">
        <f>HYPERLINK("http://141.218.60.56/~jnz1568/getInfo.php?workbook=16_14.xlsx&amp;sheet=A0&amp;row=164&amp;col=9&amp;number=&amp;sourceID=48","")</f>
        <v/>
      </c>
      <c r="J164" s="4" t="str">
        <f>HYPERLINK("http://141.218.60.56/~jnz1568/getInfo.php?workbook=16_14.xlsx&amp;sheet=A0&amp;row=164&amp;col=10&amp;number=&amp;sourceID=49","")</f>
        <v/>
      </c>
      <c r="K164" s="4" t="str">
        <f>HYPERLINK("http://141.218.60.56/~jnz1568/getInfo.php?workbook=16_14.xlsx&amp;sheet=A0&amp;row=164&amp;col=11&amp;number=&amp;sourceID=49","")</f>
        <v/>
      </c>
    </row>
    <row r="165" spans="1:11">
      <c r="A165" s="3">
        <v>16</v>
      </c>
      <c r="B165" s="3">
        <v>14</v>
      </c>
      <c r="C165" s="3">
        <v>34</v>
      </c>
      <c r="D165" s="3">
        <v>18</v>
      </c>
      <c r="E165" s="3">
        <f>((1/(INDEX(E0!J$4:J$47,C165,1)-INDEX(E0!J$4:J$47,D165,1))))*100000000</f>
        <v>0</v>
      </c>
      <c r="F165" s="4" t="str">
        <f>HYPERLINK("http://141.218.60.56/~jnz1568/getInfo.php?workbook=16_14.xlsx&amp;sheet=A0&amp;row=165&amp;col=6&amp;number=45407&amp;sourceID=48","45407")</f>
        <v>45407</v>
      </c>
      <c r="G165" s="4" t="str">
        <f>HYPERLINK("http://141.218.60.56/~jnz1568/getInfo.php?workbook=16_14.xlsx&amp;sheet=A0&amp;row=165&amp;col=7&amp;number=&amp;sourceID=48","")</f>
        <v/>
      </c>
      <c r="H165" s="4" t="str">
        <f>HYPERLINK("http://141.218.60.56/~jnz1568/getInfo.php?workbook=16_14.xlsx&amp;sheet=A0&amp;row=165&amp;col=8&amp;number=&amp;sourceID=48","")</f>
        <v/>
      </c>
      <c r="I165" s="4" t="str">
        <f>HYPERLINK("http://141.218.60.56/~jnz1568/getInfo.php?workbook=16_14.xlsx&amp;sheet=A0&amp;row=165&amp;col=9&amp;number=&amp;sourceID=48","")</f>
        <v/>
      </c>
      <c r="J165" s="4" t="str">
        <f>HYPERLINK("http://141.218.60.56/~jnz1568/getInfo.php?workbook=16_14.xlsx&amp;sheet=A0&amp;row=165&amp;col=10&amp;number=&amp;sourceID=49","")</f>
        <v/>
      </c>
      <c r="K165" s="4" t="str">
        <f>HYPERLINK("http://141.218.60.56/~jnz1568/getInfo.php?workbook=16_14.xlsx&amp;sheet=A0&amp;row=165&amp;col=11&amp;number=&amp;sourceID=49","")</f>
        <v/>
      </c>
    </row>
    <row r="166" spans="1:11">
      <c r="A166" s="3">
        <v>16</v>
      </c>
      <c r="B166" s="3">
        <v>14</v>
      </c>
      <c r="C166" s="3">
        <v>34</v>
      </c>
      <c r="D166" s="3">
        <v>20</v>
      </c>
      <c r="E166" s="3">
        <f>((1/(INDEX(E0!J$4:J$47,C166,1)-INDEX(E0!J$4:J$47,D166,1))))*100000000</f>
        <v>0</v>
      </c>
      <c r="F166" s="4" t="str">
        <f>HYPERLINK("http://141.218.60.56/~jnz1568/getInfo.php?workbook=16_14.xlsx&amp;sheet=A0&amp;row=166&amp;col=6&amp;number=60888000&amp;sourceID=48","60888000")</f>
        <v>60888000</v>
      </c>
      <c r="G166" s="4" t="str">
        <f>HYPERLINK("http://141.218.60.56/~jnz1568/getInfo.php?workbook=16_14.xlsx&amp;sheet=A0&amp;row=166&amp;col=7&amp;number=&amp;sourceID=48","")</f>
        <v/>
      </c>
      <c r="H166" s="4" t="str">
        <f>HYPERLINK("http://141.218.60.56/~jnz1568/getInfo.php?workbook=16_14.xlsx&amp;sheet=A0&amp;row=166&amp;col=8&amp;number=&amp;sourceID=48","")</f>
        <v/>
      </c>
      <c r="I166" s="4" t="str">
        <f>HYPERLINK("http://141.218.60.56/~jnz1568/getInfo.php?workbook=16_14.xlsx&amp;sheet=A0&amp;row=166&amp;col=9&amp;number=&amp;sourceID=48","")</f>
        <v/>
      </c>
      <c r="J166" s="4" t="str">
        <f>HYPERLINK("http://141.218.60.56/~jnz1568/getInfo.php?workbook=16_14.xlsx&amp;sheet=A0&amp;row=166&amp;col=10&amp;number=&amp;sourceID=49","")</f>
        <v/>
      </c>
      <c r="K166" s="4" t="str">
        <f>HYPERLINK("http://141.218.60.56/~jnz1568/getInfo.php?workbook=16_14.xlsx&amp;sheet=A0&amp;row=166&amp;col=11&amp;number=&amp;sourceID=49","")</f>
        <v/>
      </c>
    </row>
    <row r="167" spans="1:11">
      <c r="A167" s="3">
        <v>16</v>
      </c>
      <c r="B167" s="3">
        <v>14</v>
      </c>
      <c r="C167" s="3">
        <v>34</v>
      </c>
      <c r="D167" s="3">
        <v>21</v>
      </c>
      <c r="E167" s="3">
        <f>((1/(INDEX(E0!J$4:J$47,C167,1)-INDEX(E0!J$4:J$47,D167,1))))*100000000</f>
        <v>0</v>
      </c>
      <c r="F167" s="4" t="str">
        <f>HYPERLINK("http://141.218.60.56/~jnz1568/getInfo.php?workbook=16_14.xlsx&amp;sheet=A0&amp;row=167&amp;col=6&amp;number=8609100&amp;sourceID=48","8609100")</f>
        <v>8609100</v>
      </c>
      <c r="G167" s="4" t="str">
        <f>HYPERLINK("http://141.218.60.56/~jnz1568/getInfo.php?workbook=16_14.xlsx&amp;sheet=A0&amp;row=167&amp;col=7&amp;number=&amp;sourceID=48","")</f>
        <v/>
      </c>
      <c r="H167" s="4" t="str">
        <f>HYPERLINK("http://141.218.60.56/~jnz1568/getInfo.php?workbook=16_14.xlsx&amp;sheet=A0&amp;row=167&amp;col=8&amp;number=&amp;sourceID=48","")</f>
        <v/>
      </c>
      <c r="I167" s="4" t="str">
        <f>HYPERLINK("http://141.218.60.56/~jnz1568/getInfo.php?workbook=16_14.xlsx&amp;sheet=A0&amp;row=167&amp;col=9&amp;number=&amp;sourceID=48","")</f>
        <v/>
      </c>
      <c r="J167" s="4" t="str">
        <f>HYPERLINK("http://141.218.60.56/~jnz1568/getInfo.php?workbook=16_14.xlsx&amp;sheet=A0&amp;row=167&amp;col=10&amp;number=&amp;sourceID=49","")</f>
        <v/>
      </c>
      <c r="K167" s="4" t="str">
        <f>HYPERLINK("http://141.218.60.56/~jnz1568/getInfo.php?workbook=16_14.xlsx&amp;sheet=A0&amp;row=167&amp;col=11&amp;number=&amp;sourceID=49","")</f>
        <v/>
      </c>
    </row>
    <row r="168" spans="1:11">
      <c r="A168" s="3">
        <v>16</v>
      </c>
      <c r="B168" s="3">
        <v>14</v>
      </c>
      <c r="C168" s="3">
        <v>34</v>
      </c>
      <c r="D168" s="3">
        <v>23</v>
      </c>
      <c r="E168" s="3">
        <f>((1/(INDEX(E0!J$4:J$47,C168,1)-INDEX(E0!J$4:J$47,D168,1))))*100000000</f>
        <v>0</v>
      </c>
      <c r="F168" s="4" t="str">
        <f>HYPERLINK("http://141.218.60.56/~jnz1568/getInfo.php?workbook=16_14.xlsx&amp;sheet=A0&amp;row=168&amp;col=6&amp;number=38726000&amp;sourceID=48","38726000")</f>
        <v>38726000</v>
      </c>
      <c r="G168" s="4" t="str">
        <f>HYPERLINK("http://141.218.60.56/~jnz1568/getInfo.php?workbook=16_14.xlsx&amp;sheet=A0&amp;row=168&amp;col=7&amp;number=&amp;sourceID=48","")</f>
        <v/>
      </c>
      <c r="H168" s="4" t="str">
        <f>HYPERLINK("http://141.218.60.56/~jnz1568/getInfo.php?workbook=16_14.xlsx&amp;sheet=A0&amp;row=168&amp;col=8&amp;number=&amp;sourceID=48","")</f>
        <v/>
      </c>
      <c r="I168" s="4" t="str">
        <f>HYPERLINK("http://141.218.60.56/~jnz1568/getInfo.php?workbook=16_14.xlsx&amp;sheet=A0&amp;row=168&amp;col=9&amp;number=&amp;sourceID=48","")</f>
        <v/>
      </c>
      <c r="J168" s="4" t="str">
        <f>HYPERLINK("http://141.218.60.56/~jnz1568/getInfo.php?workbook=16_14.xlsx&amp;sheet=A0&amp;row=168&amp;col=10&amp;number=&amp;sourceID=49","")</f>
        <v/>
      </c>
      <c r="K168" s="4" t="str">
        <f>HYPERLINK("http://141.218.60.56/~jnz1568/getInfo.php?workbook=16_14.xlsx&amp;sheet=A0&amp;row=168&amp;col=11&amp;number=&amp;sourceID=49","")</f>
        <v/>
      </c>
    </row>
    <row r="169" spans="1:11">
      <c r="A169" s="3">
        <v>16</v>
      </c>
      <c r="B169" s="3">
        <v>14</v>
      </c>
      <c r="C169" s="3">
        <v>34</v>
      </c>
      <c r="D169" s="3">
        <v>24</v>
      </c>
      <c r="E169" s="3">
        <f>((1/(INDEX(E0!J$4:J$47,C169,1)-INDEX(E0!J$4:J$47,D169,1))))*100000000</f>
        <v>0</v>
      </c>
      <c r="F169" s="4" t="str">
        <f>HYPERLINK("http://141.218.60.56/~jnz1568/getInfo.php?workbook=16_14.xlsx&amp;sheet=A0&amp;row=169&amp;col=6&amp;number=16108000&amp;sourceID=48","16108000")</f>
        <v>16108000</v>
      </c>
      <c r="G169" s="4" t="str">
        <f>HYPERLINK("http://141.218.60.56/~jnz1568/getInfo.php?workbook=16_14.xlsx&amp;sheet=A0&amp;row=169&amp;col=7&amp;number=&amp;sourceID=48","")</f>
        <v/>
      </c>
      <c r="H169" s="4" t="str">
        <f>HYPERLINK("http://141.218.60.56/~jnz1568/getInfo.php?workbook=16_14.xlsx&amp;sheet=A0&amp;row=169&amp;col=8&amp;number=&amp;sourceID=48","")</f>
        <v/>
      </c>
      <c r="I169" s="4" t="str">
        <f>HYPERLINK("http://141.218.60.56/~jnz1568/getInfo.php?workbook=16_14.xlsx&amp;sheet=A0&amp;row=169&amp;col=9&amp;number=&amp;sourceID=48","")</f>
        <v/>
      </c>
      <c r="J169" s="4" t="str">
        <f>HYPERLINK("http://141.218.60.56/~jnz1568/getInfo.php?workbook=16_14.xlsx&amp;sheet=A0&amp;row=169&amp;col=10&amp;number=&amp;sourceID=49","")</f>
        <v/>
      </c>
      <c r="K169" s="4" t="str">
        <f>HYPERLINK("http://141.218.60.56/~jnz1568/getInfo.php?workbook=16_14.xlsx&amp;sheet=A0&amp;row=169&amp;col=11&amp;number=&amp;sourceID=49","")</f>
        <v/>
      </c>
    </row>
    <row r="170" spans="1:11">
      <c r="A170" s="3">
        <v>16</v>
      </c>
      <c r="B170" s="3">
        <v>14</v>
      </c>
      <c r="C170" s="3">
        <v>34</v>
      </c>
      <c r="D170" s="3">
        <v>25</v>
      </c>
      <c r="E170" s="3">
        <f>((1/(INDEX(E0!J$4:J$47,C170,1)-INDEX(E0!J$4:J$47,D170,1))))*100000000</f>
        <v>0</v>
      </c>
      <c r="F170" s="4" t="str">
        <f>HYPERLINK("http://141.218.60.56/~jnz1568/getInfo.php?workbook=16_14.xlsx&amp;sheet=A0&amp;row=170&amp;col=6&amp;number=3169700&amp;sourceID=48","3169700")</f>
        <v>3169700</v>
      </c>
      <c r="G170" s="4" t="str">
        <f>HYPERLINK("http://141.218.60.56/~jnz1568/getInfo.php?workbook=16_14.xlsx&amp;sheet=A0&amp;row=170&amp;col=7&amp;number=&amp;sourceID=48","")</f>
        <v/>
      </c>
      <c r="H170" s="4" t="str">
        <f>HYPERLINK("http://141.218.60.56/~jnz1568/getInfo.php?workbook=16_14.xlsx&amp;sheet=A0&amp;row=170&amp;col=8&amp;number=&amp;sourceID=48","")</f>
        <v/>
      </c>
      <c r="I170" s="4" t="str">
        <f>HYPERLINK("http://141.218.60.56/~jnz1568/getInfo.php?workbook=16_14.xlsx&amp;sheet=A0&amp;row=170&amp;col=9&amp;number=&amp;sourceID=48","")</f>
        <v/>
      </c>
      <c r="J170" s="4" t="str">
        <f>HYPERLINK("http://141.218.60.56/~jnz1568/getInfo.php?workbook=16_14.xlsx&amp;sheet=A0&amp;row=170&amp;col=10&amp;number=&amp;sourceID=49","")</f>
        <v/>
      </c>
      <c r="K170" s="4" t="str">
        <f>HYPERLINK("http://141.218.60.56/~jnz1568/getInfo.php?workbook=16_14.xlsx&amp;sheet=A0&amp;row=170&amp;col=11&amp;number=&amp;sourceID=49","")</f>
        <v/>
      </c>
    </row>
    <row r="171" spans="1:11">
      <c r="A171" s="3">
        <v>16</v>
      </c>
      <c r="B171" s="3">
        <v>14</v>
      </c>
      <c r="C171" s="3">
        <v>34</v>
      </c>
      <c r="D171" s="3">
        <v>26</v>
      </c>
      <c r="E171" s="3">
        <f>((1/(INDEX(E0!J$4:J$47,C171,1)-INDEX(E0!J$4:J$47,D171,1))))*100000000</f>
        <v>0</v>
      </c>
      <c r="F171" s="4" t="str">
        <f>HYPERLINK("http://141.218.60.56/~jnz1568/getInfo.php?workbook=16_14.xlsx&amp;sheet=A0&amp;row=171&amp;col=6&amp;number=2104700&amp;sourceID=48","2104700")</f>
        <v>2104700</v>
      </c>
      <c r="G171" s="4" t="str">
        <f>HYPERLINK("http://141.218.60.56/~jnz1568/getInfo.php?workbook=16_14.xlsx&amp;sheet=A0&amp;row=171&amp;col=7&amp;number=&amp;sourceID=48","")</f>
        <v/>
      </c>
      <c r="H171" s="4" t="str">
        <f>HYPERLINK("http://141.218.60.56/~jnz1568/getInfo.php?workbook=16_14.xlsx&amp;sheet=A0&amp;row=171&amp;col=8&amp;number=&amp;sourceID=48","")</f>
        <v/>
      </c>
      <c r="I171" s="4" t="str">
        <f>HYPERLINK("http://141.218.60.56/~jnz1568/getInfo.php?workbook=16_14.xlsx&amp;sheet=A0&amp;row=171&amp;col=9&amp;number=&amp;sourceID=48","")</f>
        <v/>
      </c>
      <c r="J171" s="4" t="str">
        <f>HYPERLINK("http://141.218.60.56/~jnz1568/getInfo.php?workbook=16_14.xlsx&amp;sheet=A0&amp;row=171&amp;col=10&amp;number=&amp;sourceID=49","")</f>
        <v/>
      </c>
      <c r="K171" s="4" t="str">
        <f>HYPERLINK("http://141.218.60.56/~jnz1568/getInfo.php?workbook=16_14.xlsx&amp;sheet=A0&amp;row=171&amp;col=11&amp;number=&amp;sourceID=49","")</f>
        <v/>
      </c>
    </row>
    <row r="172" spans="1:11">
      <c r="A172" s="3">
        <v>16</v>
      </c>
      <c r="B172" s="3">
        <v>14</v>
      </c>
      <c r="C172" s="3">
        <v>34</v>
      </c>
      <c r="D172" s="3">
        <v>27</v>
      </c>
      <c r="E172" s="3">
        <f>((1/(INDEX(E0!J$4:J$47,C172,1)-INDEX(E0!J$4:J$47,D172,1))))*100000000</f>
        <v>0</v>
      </c>
      <c r="F172" s="4" t="str">
        <f>HYPERLINK("http://141.218.60.56/~jnz1568/getInfo.php?workbook=16_14.xlsx&amp;sheet=A0&amp;row=172&amp;col=6&amp;number=1883400&amp;sourceID=48","1883400")</f>
        <v>1883400</v>
      </c>
      <c r="G172" s="4" t="str">
        <f>HYPERLINK("http://141.218.60.56/~jnz1568/getInfo.php?workbook=16_14.xlsx&amp;sheet=A0&amp;row=172&amp;col=7&amp;number=&amp;sourceID=48","")</f>
        <v/>
      </c>
      <c r="H172" s="4" t="str">
        <f>HYPERLINK("http://141.218.60.56/~jnz1568/getInfo.php?workbook=16_14.xlsx&amp;sheet=A0&amp;row=172&amp;col=8&amp;number=&amp;sourceID=48","")</f>
        <v/>
      </c>
      <c r="I172" s="4" t="str">
        <f>HYPERLINK("http://141.218.60.56/~jnz1568/getInfo.php?workbook=16_14.xlsx&amp;sheet=A0&amp;row=172&amp;col=9&amp;number=&amp;sourceID=48","")</f>
        <v/>
      </c>
      <c r="J172" s="4" t="str">
        <f>HYPERLINK("http://141.218.60.56/~jnz1568/getInfo.php?workbook=16_14.xlsx&amp;sheet=A0&amp;row=172&amp;col=10&amp;number=&amp;sourceID=49","")</f>
        <v/>
      </c>
      <c r="K172" s="4" t="str">
        <f>HYPERLINK("http://141.218.60.56/~jnz1568/getInfo.php?workbook=16_14.xlsx&amp;sheet=A0&amp;row=172&amp;col=11&amp;number=&amp;sourceID=49","")</f>
        <v/>
      </c>
    </row>
    <row r="173" spans="1:11">
      <c r="A173" s="3">
        <v>16</v>
      </c>
      <c r="B173" s="3">
        <v>14</v>
      </c>
      <c r="C173" s="3">
        <v>34</v>
      </c>
      <c r="D173" s="3">
        <v>28</v>
      </c>
      <c r="E173" s="3">
        <f>((1/(INDEX(E0!J$4:J$47,C173,1)-INDEX(E0!J$4:J$47,D173,1))))*100000000</f>
        <v>0</v>
      </c>
      <c r="F173" s="4" t="str">
        <f>HYPERLINK("http://141.218.60.56/~jnz1568/getInfo.php?workbook=16_14.xlsx&amp;sheet=A0&amp;row=173&amp;col=6&amp;number=2116600&amp;sourceID=48","2116600")</f>
        <v>2116600</v>
      </c>
      <c r="G173" s="4" t="str">
        <f>HYPERLINK("http://141.218.60.56/~jnz1568/getInfo.php?workbook=16_14.xlsx&amp;sheet=A0&amp;row=173&amp;col=7&amp;number=&amp;sourceID=48","")</f>
        <v/>
      </c>
      <c r="H173" s="4" t="str">
        <f>HYPERLINK("http://141.218.60.56/~jnz1568/getInfo.php?workbook=16_14.xlsx&amp;sheet=A0&amp;row=173&amp;col=8&amp;number=&amp;sourceID=48","")</f>
        <v/>
      </c>
      <c r="I173" s="4" t="str">
        <f>HYPERLINK("http://141.218.60.56/~jnz1568/getInfo.php?workbook=16_14.xlsx&amp;sheet=A0&amp;row=173&amp;col=9&amp;number=&amp;sourceID=48","")</f>
        <v/>
      </c>
      <c r="J173" s="4" t="str">
        <f>HYPERLINK("http://141.218.60.56/~jnz1568/getInfo.php?workbook=16_14.xlsx&amp;sheet=A0&amp;row=173&amp;col=10&amp;number=&amp;sourceID=49","")</f>
        <v/>
      </c>
      <c r="K173" s="4" t="str">
        <f>HYPERLINK("http://141.218.60.56/~jnz1568/getInfo.php?workbook=16_14.xlsx&amp;sheet=A0&amp;row=173&amp;col=11&amp;number=&amp;sourceID=49","")</f>
        <v/>
      </c>
    </row>
    <row r="174" spans="1:11">
      <c r="A174" s="3">
        <v>16</v>
      </c>
      <c r="B174" s="3">
        <v>14</v>
      </c>
      <c r="C174" s="3">
        <v>34</v>
      </c>
      <c r="D174" s="3">
        <v>29</v>
      </c>
      <c r="E174" s="3">
        <f>((1/(INDEX(E0!J$4:J$47,C174,1)-INDEX(E0!J$4:J$47,D174,1))))*100000000</f>
        <v>0</v>
      </c>
      <c r="F174" s="4" t="str">
        <f>HYPERLINK("http://141.218.60.56/~jnz1568/getInfo.php?workbook=16_14.xlsx&amp;sheet=A0&amp;row=174&amp;col=6&amp;number=323.43&amp;sourceID=48","323.43")</f>
        <v>323.43</v>
      </c>
      <c r="G174" s="4" t="str">
        <f>HYPERLINK("http://141.218.60.56/~jnz1568/getInfo.php?workbook=16_14.xlsx&amp;sheet=A0&amp;row=174&amp;col=7&amp;number=&amp;sourceID=48","")</f>
        <v/>
      </c>
      <c r="H174" s="4" t="str">
        <f>HYPERLINK("http://141.218.60.56/~jnz1568/getInfo.php?workbook=16_14.xlsx&amp;sheet=A0&amp;row=174&amp;col=8&amp;number=&amp;sourceID=48","")</f>
        <v/>
      </c>
      <c r="I174" s="4" t="str">
        <f>HYPERLINK("http://141.218.60.56/~jnz1568/getInfo.php?workbook=16_14.xlsx&amp;sheet=A0&amp;row=174&amp;col=9&amp;number=&amp;sourceID=48","")</f>
        <v/>
      </c>
      <c r="J174" s="4" t="str">
        <f>HYPERLINK("http://141.218.60.56/~jnz1568/getInfo.php?workbook=16_14.xlsx&amp;sheet=A0&amp;row=174&amp;col=10&amp;number=&amp;sourceID=49","")</f>
        <v/>
      </c>
      <c r="K174" s="4" t="str">
        <f>HYPERLINK("http://141.218.60.56/~jnz1568/getInfo.php?workbook=16_14.xlsx&amp;sheet=A0&amp;row=174&amp;col=11&amp;number=&amp;sourceID=49","")</f>
        <v/>
      </c>
    </row>
    <row r="175" spans="1:11">
      <c r="A175" s="3">
        <v>16</v>
      </c>
      <c r="B175" s="3">
        <v>14</v>
      </c>
      <c r="C175" s="3">
        <v>34</v>
      </c>
      <c r="D175" s="3">
        <v>30</v>
      </c>
      <c r="E175" s="3">
        <f>((1/(INDEX(E0!J$4:J$47,C175,1)-INDEX(E0!J$4:J$47,D175,1))))*100000000</f>
        <v>0</v>
      </c>
      <c r="F175" s="4" t="str">
        <f>HYPERLINK("http://141.218.60.56/~jnz1568/getInfo.php?workbook=16_14.xlsx&amp;sheet=A0&amp;row=175&amp;col=6&amp;number=9864&amp;sourceID=48","9864")</f>
        <v>9864</v>
      </c>
      <c r="G175" s="4" t="str">
        <f>HYPERLINK("http://141.218.60.56/~jnz1568/getInfo.php?workbook=16_14.xlsx&amp;sheet=A0&amp;row=175&amp;col=7&amp;number=&amp;sourceID=48","")</f>
        <v/>
      </c>
      <c r="H175" s="4" t="str">
        <f>HYPERLINK("http://141.218.60.56/~jnz1568/getInfo.php?workbook=16_14.xlsx&amp;sheet=A0&amp;row=175&amp;col=8&amp;number=&amp;sourceID=48","")</f>
        <v/>
      </c>
      <c r="I175" s="4" t="str">
        <f>HYPERLINK("http://141.218.60.56/~jnz1568/getInfo.php?workbook=16_14.xlsx&amp;sheet=A0&amp;row=175&amp;col=9&amp;number=&amp;sourceID=48","")</f>
        <v/>
      </c>
      <c r="J175" s="4" t="str">
        <f>HYPERLINK("http://141.218.60.56/~jnz1568/getInfo.php?workbook=16_14.xlsx&amp;sheet=A0&amp;row=175&amp;col=10&amp;number=&amp;sourceID=49","")</f>
        <v/>
      </c>
      <c r="K175" s="4" t="str">
        <f>HYPERLINK("http://141.218.60.56/~jnz1568/getInfo.php?workbook=16_14.xlsx&amp;sheet=A0&amp;row=175&amp;col=11&amp;number=&amp;sourceID=49","")</f>
        <v/>
      </c>
    </row>
    <row r="176" spans="1:11">
      <c r="A176" s="3">
        <v>16</v>
      </c>
      <c r="B176" s="3">
        <v>14</v>
      </c>
      <c r="C176" s="3">
        <v>34</v>
      </c>
      <c r="D176" s="3">
        <v>31</v>
      </c>
      <c r="E176" s="3">
        <f>((1/(INDEX(E0!J$4:J$47,C176,1)-INDEX(E0!J$4:J$47,D176,1))))*100000000</f>
        <v>0</v>
      </c>
      <c r="F176" s="4" t="str">
        <f>HYPERLINK("http://141.218.60.56/~jnz1568/getInfo.php?workbook=16_14.xlsx&amp;sheet=A0&amp;row=176&amp;col=6&amp;number=3.4071&amp;sourceID=48","3.4071")</f>
        <v>3.4071</v>
      </c>
      <c r="G176" s="4" t="str">
        <f>HYPERLINK("http://141.218.60.56/~jnz1568/getInfo.php?workbook=16_14.xlsx&amp;sheet=A0&amp;row=176&amp;col=7&amp;number=&amp;sourceID=48","")</f>
        <v/>
      </c>
      <c r="H176" s="4" t="str">
        <f>HYPERLINK("http://141.218.60.56/~jnz1568/getInfo.php?workbook=16_14.xlsx&amp;sheet=A0&amp;row=176&amp;col=8&amp;number=&amp;sourceID=48","")</f>
        <v/>
      </c>
      <c r="I176" s="4" t="str">
        <f>HYPERLINK("http://141.218.60.56/~jnz1568/getInfo.php?workbook=16_14.xlsx&amp;sheet=A0&amp;row=176&amp;col=9&amp;number=&amp;sourceID=48","")</f>
        <v/>
      </c>
      <c r="J176" s="4" t="str">
        <f>HYPERLINK("http://141.218.60.56/~jnz1568/getInfo.php?workbook=16_14.xlsx&amp;sheet=A0&amp;row=176&amp;col=10&amp;number=&amp;sourceID=49","")</f>
        <v/>
      </c>
      <c r="K176" s="4" t="str">
        <f>HYPERLINK("http://141.218.60.56/~jnz1568/getInfo.php?workbook=16_14.xlsx&amp;sheet=A0&amp;row=176&amp;col=11&amp;number=&amp;sourceID=49","")</f>
        <v/>
      </c>
    </row>
    <row r="177" spans="1:11">
      <c r="A177" s="3">
        <v>16</v>
      </c>
      <c r="B177" s="3">
        <v>14</v>
      </c>
      <c r="C177" s="3">
        <v>35</v>
      </c>
      <c r="D177" s="3">
        <v>6</v>
      </c>
      <c r="E177" s="3">
        <f>((1/(INDEX(E0!J$4:J$47,C177,1)-INDEX(E0!J$4:J$47,D177,1))))*100000000</f>
        <v>0</v>
      </c>
      <c r="F177" s="4" t="str">
        <f>HYPERLINK("http://141.218.60.56/~jnz1568/getInfo.php?workbook=16_14.xlsx&amp;sheet=A0&amp;row=177&amp;col=6&amp;number=2237.2&amp;sourceID=48","2237.2")</f>
        <v>2237.2</v>
      </c>
      <c r="G177" s="4" t="str">
        <f>HYPERLINK("http://141.218.60.56/~jnz1568/getInfo.php?workbook=16_14.xlsx&amp;sheet=A0&amp;row=177&amp;col=7&amp;number=&amp;sourceID=48","")</f>
        <v/>
      </c>
      <c r="H177" s="4" t="str">
        <f>HYPERLINK("http://141.218.60.56/~jnz1568/getInfo.php?workbook=16_14.xlsx&amp;sheet=A0&amp;row=177&amp;col=8&amp;number=&amp;sourceID=48","")</f>
        <v/>
      </c>
      <c r="I177" s="4" t="str">
        <f>HYPERLINK("http://141.218.60.56/~jnz1568/getInfo.php?workbook=16_14.xlsx&amp;sheet=A0&amp;row=177&amp;col=9&amp;number=&amp;sourceID=48","")</f>
        <v/>
      </c>
      <c r="J177" s="4" t="str">
        <f>HYPERLINK("http://141.218.60.56/~jnz1568/getInfo.php?workbook=16_14.xlsx&amp;sheet=A0&amp;row=177&amp;col=10&amp;number=&amp;sourceID=49","")</f>
        <v/>
      </c>
      <c r="K177" s="4" t="str">
        <f>HYPERLINK("http://141.218.60.56/~jnz1568/getInfo.php?workbook=16_14.xlsx&amp;sheet=A0&amp;row=177&amp;col=11&amp;number=&amp;sourceID=49","")</f>
        <v/>
      </c>
    </row>
    <row r="178" spans="1:11">
      <c r="A178" s="3">
        <v>16</v>
      </c>
      <c r="B178" s="3">
        <v>14</v>
      </c>
      <c r="C178" s="3">
        <v>35</v>
      </c>
      <c r="D178" s="3">
        <v>8</v>
      </c>
      <c r="E178" s="3">
        <f>((1/(INDEX(E0!J$4:J$47,C178,1)-INDEX(E0!J$4:J$47,D178,1))))*100000000</f>
        <v>0</v>
      </c>
      <c r="F178" s="4" t="str">
        <f>HYPERLINK("http://141.218.60.56/~jnz1568/getInfo.php?workbook=16_14.xlsx&amp;sheet=A0&amp;row=178&amp;col=6&amp;number=4258600&amp;sourceID=48","4258600")</f>
        <v>4258600</v>
      </c>
      <c r="G178" s="4" t="str">
        <f>HYPERLINK("http://141.218.60.56/~jnz1568/getInfo.php?workbook=16_14.xlsx&amp;sheet=A0&amp;row=178&amp;col=7&amp;number=&amp;sourceID=48","")</f>
        <v/>
      </c>
      <c r="H178" s="4" t="str">
        <f>HYPERLINK("http://141.218.60.56/~jnz1568/getInfo.php?workbook=16_14.xlsx&amp;sheet=A0&amp;row=178&amp;col=8&amp;number=&amp;sourceID=48","")</f>
        <v/>
      </c>
      <c r="I178" s="4" t="str">
        <f>HYPERLINK("http://141.218.60.56/~jnz1568/getInfo.php?workbook=16_14.xlsx&amp;sheet=A0&amp;row=178&amp;col=9&amp;number=&amp;sourceID=48","")</f>
        <v/>
      </c>
      <c r="J178" s="4" t="str">
        <f>HYPERLINK("http://141.218.60.56/~jnz1568/getInfo.php?workbook=16_14.xlsx&amp;sheet=A0&amp;row=178&amp;col=10&amp;number=&amp;sourceID=49","")</f>
        <v/>
      </c>
      <c r="K178" s="4" t="str">
        <f>HYPERLINK("http://141.218.60.56/~jnz1568/getInfo.php?workbook=16_14.xlsx&amp;sheet=A0&amp;row=178&amp;col=11&amp;number=&amp;sourceID=49","")</f>
        <v/>
      </c>
    </row>
    <row r="179" spans="1:11">
      <c r="A179" s="3">
        <v>16</v>
      </c>
      <c r="B179" s="3">
        <v>14</v>
      </c>
      <c r="C179" s="3">
        <v>35</v>
      </c>
      <c r="D179" s="3">
        <v>9</v>
      </c>
      <c r="E179" s="3">
        <f>((1/(INDEX(E0!J$4:J$47,C179,1)-INDEX(E0!J$4:J$47,D179,1))))*100000000</f>
        <v>0</v>
      </c>
      <c r="F179" s="4" t="str">
        <f>HYPERLINK("http://141.218.60.56/~jnz1568/getInfo.php?workbook=16_14.xlsx&amp;sheet=A0&amp;row=179&amp;col=6&amp;number=37258000&amp;sourceID=48","37258000")</f>
        <v>37258000</v>
      </c>
      <c r="G179" s="4" t="str">
        <f>HYPERLINK("http://141.218.60.56/~jnz1568/getInfo.php?workbook=16_14.xlsx&amp;sheet=A0&amp;row=179&amp;col=7&amp;number=&amp;sourceID=48","")</f>
        <v/>
      </c>
      <c r="H179" s="4" t="str">
        <f>HYPERLINK("http://141.218.60.56/~jnz1568/getInfo.php?workbook=16_14.xlsx&amp;sheet=A0&amp;row=179&amp;col=8&amp;number=&amp;sourceID=48","")</f>
        <v/>
      </c>
      <c r="I179" s="4" t="str">
        <f>HYPERLINK("http://141.218.60.56/~jnz1568/getInfo.php?workbook=16_14.xlsx&amp;sheet=A0&amp;row=179&amp;col=9&amp;number=&amp;sourceID=48","")</f>
        <v/>
      </c>
      <c r="J179" s="4" t="str">
        <f>HYPERLINK("http://141.218.60.56/~jnz1568/getInfo.php?workbook=16_14.xlsx&amp;sheet=A0&amp;row=179&amp;col=10&amp;number=&amp;sourceID=49","")</f>
        <v/>
      </c>
      <c r="K179" s="4" t="str">
        <f>HYPERLINK("http://141.218.60.56/~jnz1568/getInfo.php?workbook=16_14.xlsx&amp;sheet=A0&amp;row=179&amp;col=11&amp;number=&amp;sourceID=49","")</f>
        <v/>
      </c>
    </row>
    <row r="180" spans="1:11">
      <c r="A180" s="3">
        <v>16</v>
      </c>
      <c r="B180" s="3">
        <v>14</v>
      </c>
      <c r="C180" s="3">
        <v>35</v>
      </c>
      <c r="D180" s="3">
        <v>10</v>
      </c>
      <c r="E180" s="3">
        <f>((1/(INDEX(E0!J$4:J$47,C180,1)-INDEX(E0!J$4:J$47,D180,1))))*100000000</f>
        <v>0</v>
      </c>
      <c r="F180" s="4" t="str">
        <f>HYPERLINK("http://141.218.60.56/~jnz1568/getInfo.php?workbook=16_14.xlsx&amp;sheet=A0&amp;row=180&amp;col=6&amp;number=8615600&amp;sourceID=48","8615600")</f>
        <v>8615600</v>
      </c>
      <c r="G180" s="4" t="str">
        <f>HYPERLINK("http://141.218.60.56/~jnz1568/getInfo.php?workbook=16_14.xlsx&amp;sheet=A0&amp;row=180&amp;col=7&amp;number=&amp;sourceID=48","")</f>
        <v/>
      </c>
      <c r="H180" s="4" t="str">
        <f>HYPERLINK("http://141.218.60.56/~jnz1568/getInfo.php?workbook=16_14.xlsx&amp;sheet=A0&amp;row=180&amp;col=8&amp;number=&amp;sourceID=48","")</f>
        <v/>
      </c>
      <c r="I180" s="4" t="str">
        <f>HYPERLINK("http://141.218.60.56/~jnz1568/getInfo.php?workbook=16_14.xlsx&amp;sheet=A0&amp;row=180&amp;col=9&amp;number=&amp;sourceID=48","")</f>
        <v/>
      </c>
      <c r="J180" s="4" t="str">
        <f>HYPERLINK("http://141.218.60.56/~jnz1568/getInfo.php?workbook=16_14.xlsx&amp;sheet=A0&amp;row=180&amp;col=10&amp;number=&amp;sourceID=49","")</f>
        <v/>
      </c>
      <c r="K180" s="4" t="str">
        <f>HYPERLINK("http://141.218.60.56/~jnz1568/getInfo.php?workbook=16_14.xlsx&amp;sheet=A0&amp;row=180&amp;col=11&amp;number=&amp;sourceID=49","")</f>
        <v/>
      </c>
    </row>
    <row r="181" spans="1:11">
      <c r="A181" s="3">
        <v>16</v>
      </c>
      <c r="B181" s="3">
        <v>14</v>
      </c>
      <c r="C181" s="3">
        <v>35</v>
      </c>
      <c r="D181" s="3">
        <v>13</v>
      </c>
      <c r="E181" s="3">
        <f>((1/(INDEX(E0!J$4:J$47,C181,1)-INDEX(E0!J$4:J$47,D181,1))))*100000000</f>
        <v>0</v>
      </c>
      <c r="F181" s="4" t="str">
        <f>HYPERLINK("http://141.218.60.56/~jnz1568/getInfo.php?workbook=16_14.xlsx&amp;sheet=A0&amp;row=181&amp;col=6&amp;number=21645&amp;sourceID=48","21645")</f>
        <v>21645</v>
      </c>
      <c r="G181" s="4" t="str">
        <f>HYPERLINK("http://141.218.60.56/~jnz1568/getInfo.php?workbook=16_14.xlsx&amp;sheet=A0&amp;row=181&amp;col=7&amp;number=&amp;sourceID=48","")</f>
        <v/>
      </c>
      <c r="H181" s="4" t="str">
        <f>HYPERLINK("http://141.218.60.56/~jnz1568/getInfo.php?workbook=16_14.xlsx&amp;sheet=A0&amp;row=181&amp;col=8&amp;number=&amp;sourceID=48","")</f>
        <v/>
      </c>
      <c r="I181" s="4" t="str">
        <f>HYPERLINK("http://141.218.60.56/~jnz1568/getInfo.php?workbook=16_14.xlsx&amp;sheet=A0&amp;row=181&amp;col=9&amp;number=&amp;sourceID=48","")</f>
        <v/>
      </c>
      <c r="J181" s="4" t="str">
        <f>HYPERLINK("http://141.218.60.56/~jnz1568/getInfo.php?workbook=16_14.xlsx&amp;sheet=A0&amp;row=181&amp;col=10&amp;number=&amp;sourceID=49","")</f>
        <v/>
      </c>
      <c r="K181" s="4" t="str">
        <f>HYPERLINK("http://141.218.60.56/~jnz1568/getInfo.php?workbook=16_14.xlsx&amp;sheet=A0&amp;row=181&amp;col=11&amp;number=&amp;sourceID=49","")</f>
        <v/>
      </c>
    </row>
    <row r="182" spans="1:11">
      <c r="A182" s="3">
        <v>16</v>
      </c>
      <c r="B182" s="3">
        <v>14</v>
      </c>
      <c r="C182" s="3">
        <v>35</v>
      </c>
      <c r="D182" s="3">
        <v>14</v>
      </c>
      <c r="E182" s="3">
        <f>((1/(INDEX(E0!J$4:J$47,C182,1)-INDEX(E0!J$4:J$47,D182,1))))*100000000</f>
        <v>0</v>
      </c>
      <c r="F182" s="4" t="str">
        <f>HYPERLINK("http://141.218.60.56/~jnz1568/getInfo.php?workbook=16_14.xlsx&amp;sheet=A0&amp;row=182&amp;col=6&amp;number=690830&amp;sourceID=48","690830")</f>
        <v>690830</v>
      </c>
      <c r="G182" s="4" t="str">
        <f>HYPERLINK("http://141.218.60.56/~jnz1568/getInfo.php?workbook=16_14.xlsx&amp;sheet=A0&amp;row=182&amp;col=7&amp;number=&amp;sourceID=48","")</f>
        <v/>
      </c>
      <c r="H182" s="4" t="str">
        <f>HYPERLINK("http://141.218.60.56/~jnz1568/getInfo.php?workbook=16_14.xlsx&amp;sheet=A0&amp;row=182&amp;col=8&amp;number=&amp;sourceID=48","")</f>
        <v/>
      </c>
      <c r="I182" s="4" t="str">
        <f>HYPERLINK("http://141.218.60.56/~jnz1568/getInfo.php?workbook=16_14.xlsx&amp;sheet=A0&amp;row=182&amp;col=9&amp;number=&amp;sourceID=48","")</f>
        <v/>
      </c>
      <c r="J182" s="4" t="str">
        <f>HYPERLINK("http://141.218.60.56/~jnz1568/getInfo.php?workbook=16_14.xlsx&amp;sheet=A0&amp;row=182&amp;col=10&amp;number=&amp;sourceID=49","")</f>
        <v/>
      </c>
      <c r="K182" s="4" t="str">
        <f>HYPERLINK("http://141.218.60.56/~jnz1568/getInfo.php?workbook=16_14.xlsx&amp;sheet=A0&amp;row=182&amp;col=11&amp;number=&amp;sourceID=49","")</f>
        <v/>
      </c>
    </row>
    <row r="183" spans="1:11">
      <c r="A183" s="3">
        <v>16</v>
      </c>
      <c r="B183" s="3">
        <v>14</v>
      </c>
      <c r="C183" s="3">
        <v>35</v>
      </c>
      <c r="D183" s="3">
        <v>15</v>
      </c>
      <c r="E183" s="3">
        <f>((1/(INDEX(E0!J$4:J$47,C183,1)-INDEX(E0!J$4:J$47,D183,1))))*100000000</f>
        <v>0</v>
      </c>
      <c r="F183" s="4" t="str">
        <f>HYPERLINK("http://141.218.60.56/~jnz1568/getInfo.php?workbook=16_14.xlsx&amp;sheet=A0&amp;row=183&amp;col=6&amp;number=24273000&amp;sourceID=48","24273000")</f>
        <v>24273000</v>
      </c>
      <c r="G183" s="4" t="str">
        <f>HYPERLINK("http://141.218.60.56/~jnz1568/getInfo.php?workbook=16_14.xlsx&amp;sheet=A0&amp;row=183&amp;col=7&amp;number=&amp;sourceID=48","")</f>
        <v/>
      </c>
      <c r="H183" s="4" t="str">
        <f>HYPERLINK("http://141.218.60.56/~jnz1568/getInfo.php?workbook=16_14.xlsx&amp;sheet=A0&amp;row=183&amp;col=8&amp;number=&amp;sourceID=48","")</f>
        <v/>
      </c>
      <c r="I183" s="4" t="str">
        <f>HYPERLINK("http://141.218.60.56/~jnz1568/getInfo.php?workbook=16_14.xlsx&amp;sheet=A0&amp;row=183&amp;col=9&amp;number=&amp;sourceID=48","")</f>
        <v/>
      </c>
      <c r="J183" s="4" t="str">
        <f>HYPERLINK("http://141.218.60.56/~jnz1568/getInfo.php?workbook=16_14.xlsx&amp;sheet=A0&amp;row=183&amp;col=10&amp;number=&amp;sourceID=49","")</f>
        <v/>
      </c>
      <c r="K183" s="4" t="str">
        <f>HYPERLINK("http://141.218.60.56/~jnz1568/getInfo.php?workbook=16_14.xlsx&amp;sheet=A0&amp;row=183&amp;col=11&amp;number=&amp;sourceID=49","")</f>
        <v/>
      </c>
    </row>
    <row r="184" spans="1:11">
      <c r="A184" s="3">
        <v>16</v>
      </c>
      <c r="B184" s="3">
        <v>14</v>
      </c>
      <c r="C184" s="3">
        <v>35</v>
      </c>
      <c r="D184" s="3">
        <v>16</v>
      </c>
      <c r="E184" s="3">
        <f>((1/(INDEX(E0!J$4:J$47,C184,1)-INDEX(E0!J$4:J$47,D184,1))))*100000000</f>
        <v>0</v>
      </c>
      <c r="F184" s="4" t="str">
        <f>HYPERLINK("http://141.218.60.56/~jnz1568/getInfo.php?workbook=16_14.xlsx&amp;sheet=A0&amp;row=184&amp;col=6&amp;number=282020000&amp;sourceID=48","282020000")</f>
        <v>282020000</v>
      </c>
      <c r="G184" s="4" t="str">
        <f>HYPERLINK("http://141.218.60.56/~jnz1568/getInfo.php?workbook=16_14.xlsx&amp;sheet=A0&amp;row=184&amp;col=7&amp;number=&amp;sourceID=48","")</f>
        <v/>
      </c>
      <c r="H184" s="4" t="str">
        <f>HYPERLINK("http://141.218.60.56/~jnz1568/getInfo.php?workbook=16_14.xlsx&amp;sheet=A0&amp;row=184&amp;col=8&amp;number=&amp;sourceID=48","")</f>
        <v/>
      </c>
      <c r="I184" s="4" t="str">
        <f>HYPERLINK("http://141.218.60.56/~jnz1568/getInfo.php?workbook=16_14.xlsx&amp;sheet=A0&amp;row=184&amp;col=9&amp;number=&amp;sourceID=48","")</f>
        <v/>
      </c>
      <c r="J184" s="4" t="str">
        <f>HYPERLINK("http://141.218.60.56/~jnz1568/getInfo.php?workbook=16_14.xlsx&amp;sheet=A0&amp;row=184&amp;col=10&amp;number=&amp;sourceID=49","")</f>
        <v/>
      </c>
      <c r="K184" s="4" t="str">
        <f>HYPERLINK("http://141.218.60.56/~jnz1568/getInfo.php?workbook=16_14.xlsx&amp;sheet=A0&amp;row=184&amp;col=11&amp;number=&amp;sourceID=49","")</f>
        <v/>
      </c>
    </row>
    <row r="185" spans="1:11">
      <c r="A185" s="3">
        <v>16</v>
      </c>
      <c r="B185" s="3">
        <v>14</v>
      </c>
      <c r="C185" s="3">
        <v>35</v>
      </c>
      <c r="D185" s="3">
        <v>21</v>
      </c>
      <c r="E185" s="3">
        <f>((1/(INDEX(E0!J$4:J$47,C185,1)-INDEX(E0!J$4:J$47,D185,1))))*100000000</f>
        <v>0</v>
      </c>
      <c r="F185" s="4" t="str">
        <f>HYPERLINK("http://141.218.60.56/~jnz1568/getInfo.php?workbook=16_14.xlsx&amp;sheet=A0&amp;row=185&amp;col=6&amp;number=60912000&amp;sourceID=48","60912000")</f>
        <v>60912000</v>
      </c>
      <c r="G185" s="4" t="str">
        <f>HYPERLINK("http://141.218.60.56/~jnz1568/getInfo.php?workbook=16_14.xlsx&amp;sheet=A0&amp;row=185&amp;col=7&amp;number=&amp;sourceID=48","")</f>
        <v/>
      </c>
      <c r="H185" s="4" t="str">
        <f>HYPERLINK("http://141.218.60.56/~jnz1568/getInfo.php?workbook=16_14.xlsx&amp;sheet=A0&amp;row=185&amp;col=8&amp;number=&amp;sourceID=48","")</f>
        <v/>
      </c>
      <c r="I185" s="4" t="str">
        <f>HYPERLINK("http://141.218.60.56/~jnz1568/getInfo.php?workbook=16_14.xlsx&amp;sheet=A0&amp;row=185&amp;col=9&amp;number=&amp;sourceID=48","")</f>
        <v/>
      </c>
      <c r="J185" s="4" t="str">
        <f>HYPERLINK("http://141.218.60.56/~jnz1568/getInfo.php?workbook=16_14.xlsx&amp;sheet=A0&amp;row=185&amp;col=10&amp;number=&amp;sourceID=49","")</f>
        <v/>
      </c>
      <c r="K185" s="4" t="str">
        <f>HYPERLINK("http://141.218.60.56/~jnz1568/getInfo.php?workbook=16_14.xlsx&amp;sheet=A0&amp;row=185&amp;col=11&amp;number=&amp;sourceID=49","")</f>
        <v/>
      </c>
    </row>
    <row r="186" spans="1:11">
      <c r="A186" s="3">
        <v>16</v>
      </c>
      <c r="B186" s="3">
        <v>14</v>
      </c>
      <c r="C186" s="3">
        <v>35</v>
      </c>
      <c r="D186" s="3">
        <v>24</v>
      </c>
      <c r="E186" s="3">
        <f>((1/(INDEX(E0!J$4:J$47,C186,1)-INDEX(E0!J$4:J$47,D186,1))))*100000000</f>
        <v>0</v>
      </c>
      <c r="F186" s="4" t="str">
        <f>HYPERLINK("http://141.218.60.56/~jnz1568/getInfo.php?workbook=16_14.xlsx&amp;sheet=A0&amp;row=186&amp;col=6&amp;number=61969000&amp;sourceID=48","61969000")</f>
        <v>61969000</v>
      </c>
      <c r="G186" s="4" t="str">
        <f>HYPERLINK("http://141.218.60.56/~jnz1568/getInfo.php?workbook=16_14.xlsx&amp;sheet=A0&amp;row=186&amp;col=7&amp;number=&amp;sourceID=48","")</f>
        <v/>
      </c>
      <c r="H186" s="4" t="str">
        <f>HYPERLINK("http://141.218.60.56/~jnz1568/getInfo.php?workbook=16_14.xlsx&amp;sheet=A0&amp;row=186&amp;col=8&amp;number=&amp;sourceID=48","")</f>
        <v/>
      </c>
      <c r="I186" s="4" t="str">
        <f>HYPERLINK("http://141.218.60.56/~jnz1568/getInfo.php?workbook=16_14.xlsx&amp;sheet=A0&amp;row=186&amp;col=9&amp;number=&amp;sourceID=48","")</f>
        <v/>
      </c>
      <c r="J186" s="4" t="str">
        <f>HYPERLINK("http://141.218.60.56/~jnz1568/getInfo.php?workbook=16_14.xlsx&amp;sheet=A0&amp;row=186&amp;col=10&amp;number=&amp;sourceID=49","")</f>
        <v/>
      </c>
      <c r="K186" s="4" t="str">
        <f>HYPERLINK("http://141.218.60.56/~jnz1568/getInfo.php?workbook=16_14.xlsx&amp;sheet=A0&amp;row=186&amp;col=11&amp;number=&amp;sourceID=49","")</f>
        <v/>
      </c>
    </row>
    <row r="187" spans="1:11">
      <c r="A187" s="3">
        <v>16</v>
      </c>
      <c r="B187" s="3">
        <v>14</v>
      </c>
      <c r="C187" s="3">
        <v>35</v>
      </c>
      <c r="D187" s="3">
        <v>26</v>
      </c>
      <c r="E187" s="3">
        <f>((1/(INDEX(E0!J$4:J$47,C187,1)-INDEX(E0!J$4:J$47,D187,1))))*100000000</f>
        <v>0</v>
      </c>
      <c r="F187" s="4" t="str">
        <f>HYPERLINK("http://141.218.60.56/~jnz1568/getInfo.php?workbook=16_14.xlsx&amp;sheet=A0&amp;row=187&amp;col=6&amp;number=4804400&amp;sourceID=48","4804400")</f>
        <v>4804400</v>
      </c>
      <c r="G187" s="4" t="str">
        <f>HYPERLINK("http://141.218.60.56/~jnz1568/getInfo.php?workbook=16_14.xlsx&amp;sheet=A0&amp;row=187&amp;col=7&amp;number=&amp;sourceID=48","")</f>
        <v/>
      </c>
      <c r="H187" s="4" t="str">
        <f>HYPERLINK("http://141.218.60.56/~jnz1568/getInfo.php?workbook=16_14.xlsx&amp;sheet=A0&amp;row=187&amp;col=8&amp;number=&amp;sourceID=48","")</f>
        <v/>
      </c>
      <c r="I187" s="4" t="str">
        <f>HYPERLINK("http://141.218.60.56/~jnz1568/getInfo.php?workbook=16_14.xlsx&amp;sheet=A0&amp;row=187&amp;col=9&amp;number=&amp;sourceID=48","")</f>
        <v/>
      </c>
      <c r="J187" s="4" t="str">
        <f>HYPERLINK("http://141.218.60.56/~jnz1568/getInfo.php?workbook=16_14.xlsx&amp;sheet=A0&amp;row=187&amp;col=10&amp;number=&amp;sourceID=49","")</f>
        <v/>
      </c>
      <c r="K187" s="4" t="str">
        <f>HYPERLINK("http://141.218.60.56/~jnz1568/getInfo.php?workbook=16_14.xlsx&amp;sheet=A0&amp;row=187&amp;col=11&amp;number=&amp;sourceID=49","")</f>
        <v/>
      </c>
    </row>
    <row r="188" spans="1:11">
      <c r="A188" s="3">
        <v>16</v>
      </c>
      <c r="B188" s="3">
        <v>14</v>
      </c>
      <c r="C188" s="3">
        <v>35</v>
      </c>
      <c r="D188" s="3">
        <v>27</v>
      </c>
      <c r="E188" s="3">
        <f>((1/(INDEX(E0!J$4:J$47,C188,1)-INDEX(E0!J$4:J$47,D188,1))))*100000000</f>
        <v>0</v>
      </c>
      <c r="F188" s="4" t="str">
        <f>HYPERLINK("http://141.218.60.56/~jnz1568/getInfo.php?workbook=16_14.xlsx&amp;sheet=A0&amp;row=188&amp;col=6&amp;number=6782600&amp;sourceID=48","6782600")</f>
        <v>6782600</v>
      </c>
      <c r="G188" s="4" t="str">
        <f>HYPERLINK("http://141.218.60.56/~jnz1568/getInfo.php?workbook=16_14.xlsx&amp;sheet=A0&amp;row=188&amp;col=7&amp;number=&amp;sourceID=48","")</f>
        <v/>
      </c>
      <c r="H188" s="4" t="str">
        <f>HYPERLINK("http://141.218.60.56/~jnz1568/getInfo.php?workbook=16_14.xlsx&amp;sheet=A0&amp;row=188&amp;col=8&amp;number=&amp;sourceID=48","")</f>
        <v/>
      </c>
      <c r="I188" s="4" t="str">
        <f>HYPERLINK("http://141.218.60.56/~jnz1568/getInfo.php?workbook=16_14.xlsx&amp;sheet=A0&amp;row=188&amp;col=9&amp;number=&amp;sourceID=48","")</f>
        <v/>
      </c>
      <c r="J188" s="4" t="str">
        <f>HYPERLINK("http://141.218.60.56/~jnz1568/getInfo.php?workbook=16_14.xlsx&amp;sheet=A0&amp;row=188&amp;col=10&amp;number=&amp;sourceID=49","")</f>
        <v/>
      </c>
      <c r="K188" s="4" t="str">
        <f>HYPERLINK("http://141.218.60.56/~jnz1568/getInfo.php?workbook=16_14.xlsx&amp;sheet=A0&amp;row=188&amp;col=11&amp;number=&amp;sourceID=49","")</f>
        <v/>
      </c>
    </row>
    <row r="189" spans="1:11">
      <c r="A189" s="3">
        <v>16</v>
      </c>
      <c r="B189" s="3">
        <v>14</v>
      </c>
      <c r="C189" s="3">
        <v>35</v>
      </c>
      <c r="D189" s="3">
        <v>29</v>
      </c>
      <c r="E189" s="3">
        <f>((1/(INDEX(E0!J$4:J$47,C189,1)-INDEX(E0!J$4:J$47,D189,1))))*100000000</f>
        <v>0</v>
      </c>
      <c r="F189" s="4" t="str">
        <f>HYPERLINK("http://141.218.60.56/~jnz1568/getInfo.php?workbook=16_14.xlsx&amp;sheet=A0&amp;row=189&amp;col=6&amp;number=1502.3&amp;sourceID=48","1502.3")</f>
        <v>1502.3</v>
      </c>
      <c r="G189" s="4" t="str">
        <f>HYPERLINK("http://141.218.60.56/~jnz1568/getInfo.php?workbook=16_14.xlsx&amp;sheet=A0&amp;row=189&amp;col=7&amp;number=&amp;sourceID=48","")</f>
        <v/>
      </c>
      <c r="H189" s="4" t="str">
        <f>HYPERLINK("http://141.218.60.56/~jnz1568/getInfo.php?workbook=16_14.xlsx&amp;sheet=A0&amp;row=189&amp;col=8&amp;number=&amp;sourceID=48","")</f>
        <v/>
      </c>
      <c r="I189" s="4" t="str">
        <f>HYPERLINK("http://141.218.60.56/~jnz1568/getInfo.php?workbook=16_14.xlsx&amp;sheet=A0&amp;row=189&amp;col=9&amp;number=&amp;sourceID=48","")</f>
        <v/>
      </c>
      <c r="J189" s="4" t="str">
        <f>HYPERLINK("http://141.218.60.56/~jnz1568/getInfo.php?workbook=16_14.xlsx&amp;sheet=A0&amp;row=189&amp;col=10&amp;number=&amp;sourceID=49","")</f>
        <v/>
      </c>
      <c r="K189" s="4" t="str">
        <f>HYPERLINK("http://141.218.60.56/~jnz1568/getInfo.php?workbook=16_14.xlsx&amp;sheet=A0&amp;row=189&amp;col=11&amp;number=&amp;sourceID=49","")</f>
        <v/>
      </c>
    </row>
    <row r="190" spans="1:11">
      <c r="A190" s="3">
        <v>16</v>
      </c>
      <c r="B190" s="3">
        <v>14</v>
      </c>
      <c r="C190" s="3">
        <v>35</v>
      </c>
      <c r="D190" s="3">
        <v>30</v>
      </c>
      <c r="E190" s="3">
        <f>((1/(INDEX(E0!J$4:J$47,C190,1)-INDEX(E0!J$4:J$47,D190,1))))*100000000</f>
        <v>0</v>
      </c>
      <c r="F190" s="4" t="str">
        <f>HYPERLINK("http://141.218.60.56/~jnz1568/getInfo.php?workbook=16_14.xlsx&amp;sheet=A0&amp;row=190&amp;col=6&amp;number=344.39&amp;sourceID=48","344.39")</f>
        <v>344.39</v>
      </c>
      <c r="G190" s="4" t="str">
        <f>HYPERLINK("http://141.218.60.56/~jnz1568/getInfo.php?workbook=16_14.xlsx&amp;sheet=A0&amp;row=190&amp;col=7&amp;number=&amp;sourceID=48","")</f>
        <v/>
      </c>
      <c r="H190" s="4" t="str">
        <f>HYPERLINK("http://141.218.60.56/~jnz1568/getInfo.php?workbook=16_14.xlsx&amp;sheet=A0&amp;row=190&amp;col=8&amp;number=&amp;sourceID=48","")</f>
        <v/>
      </c>
      <c r="I190" s="4" t="str">
        <f>HYPERLINK("http://141.218.60.56/~jnz1568/getInfo.php?workbook=16_14.xlsx&amp;sheet=A0&amp;row=190&amp;col=9&amp;number=&amp;sourceID=48","")</f>
        <v/>
      </c>
      <c r="J190" s="4" t="str">
        <f>HYPERLINK("http://141.218.60.56/~jnz1568/getInfo.php?workbook=16_14.xlsx&amp;sheet=A0&amp;row=190&amp;col=10&amp;number=&amp;sourceID=49","")</f>
        <v/>
      </c>
      <c r="K190" s="4" t="str">
        <f>HYPERLINK("http://141.218.60.56/~jnz1568/getInfo.php?workbook=16_14.xlsx&amp;sheet=A0&amp;row=190&amp;col=11&amp;number=&amp;sourceID=49","")</f>
        <v/>
      </c>
    </row>
    <row r="191" spans="1:11">
      <c r="A191" s="3">
        <v>16</v>
      </c>
      <c r="B191" s="3">
        <v>14</v>
      </c>
      <c r="C191" s="3">
        <v>36</v>
      </c>
      <c r="D191" s="3">
        <v>7</v>
      </c>
      <c r="E191" s="3">
        <f>((1/(INDEX(E0!J$4:J$47,C191,1)-INDEX(E0!J$4:J$47,D191,1))))*100000000</f>
        <v>0</v>
      </c>
      <c r="F191" s="4" t="str">
        <f>HYPERLINK("http://141.218.60.56/~jnz1568/getInfo.php?workbook=16_14.xlsx&amp;sheet=A0&amp;row=191&amp;col=6&amp;number=195230000&amp;sourceID=48","195230000")</f>
        <v>195230000</v>
      </c>
      <c r="G191" s="4" t="str">
        <f>HYPERLINK("http://141.218.60.56/~jnz1568/getInfo.php?workbook=16_14.xlsx&amp;sheet=A0&amp;row=191&amp;col=7&amp;number=&amp;sourceID=48","")</f>
        <v/>
      </c>
      <c r="H191" s="4" t="str">
        <f>HYPERLINK("http://141.218.60.56/~jnz1568/getInfo.php?workbook=16_14.xlsx&amp;sheet=A0&amp;row=191&amp;col=8&amp;number=&amp;sourceID=48","")</f>
        <v/>
      </c>
      <c r="I191" s="4" t="str">
        <f>HYPERLINK("http://141.218.60.56/~jnz1568/getInfo.php?workbook=16_14.xlsx&amp;sheet=A0&amp;row=191&amp;col=9&amp;number=&amp;sourceID=48","")</f>
        <v/>
      </c>
      <c r="J191" s="4" t="str">
        <f>HYPERLINK("http://141.218.60.56/~jnz1568/getInfo.php?workbook=16_14.xlsx&amp;sheet=A0&amp;row=191&amp;col=10&amp;number=&amp;sourceID=49","")</f>
        <v/>
      </c>
      <c r="K191" s="4" t="str">
        <f>HYPERLINK("http://141.218.60.56/~jnz1568/getInfo.php?workbook=16_14.xlsx&amp;sheet=A0&amp;row=191&amp;col=11&amp;number=&amp;sourceID=49","")</f>
        <v/>
      </c>
    </row>
    <row r="192" spans="1:11">
      <c r="A192" s="3">
        <v>16</v>
      </c>
      <c r="B192" s="3">
        <v>14</v>
      </c>
      <c r="C192" s="3">
        <v>36</v>
      </c>
      <c r="D192" s="3">
        <v>11</v>
      </c>
      <c r="E192" s="3">
        <f>((1/(INDEX(E0!J$4:J$47,C192,1)-INDEX(E0!J$4:J$47,D192,1))))*100000000</f>
        <v>0</v>
      </c>
      <c r="F192" s="4" t="str">
        <f>HYPERLINK("http://141.218.60.56/~jnz1568/getInfo.php?workbook=16_14.xlsx&amp;sheet=A0&amp;row=192&amp;col=6&amp;number=27336000&amp;sourceID=48","27336000")</f>
        <v>27336000</v>
      </c>
      <c r="G192" s="4" t="str">
        <f>HYPERLINK("http://141.218.60.56/~jnz1568/getInfo.php?workbook=16_14.xlsx&amp;sheet=A0&amp;row=192&amp;col=7&amp;number=&amp;sourceID=48","")</f>
        <v/>
      </c>
      <c r="H192" s="4" t="str">
        <f>HYPERLINK("http://141.218.60.56/~jnz1568/getInfo.php?workbook=16_14.xlsx&amp;sheet=A0&amp;row=192&amp;col=8&amp;number=&amp;sourceID=48","")</f>
        <v/>
      </c>
      <c r="I192" s="4" t="str">
        <f>HYPERLINK("http://141.218.60.56/~jnz1568/getInfo.php?workbook=16_14.xlsx&amp;sheet=A0&amp;row=192&amp;col=9&amp;number=&amp;sourceID=48","")</f>
        <v/>
      </c>
      <c r="J192" s="4" t="str">
        <f>HYPERLINK("http://141.218.60.56/~jnz1568/getInfo.php?workbook=16_14.xlsx&amp;sheet=A0&amp;row=192&amp;col=10&amp;number=&amp;sourceID=49","")</f>
        <v/>
      </c>
      <c r="K192" s="4" t="str">
        <f>HYPERLINK("http://141.218.60.56/~jnz1568/getInfo.php?workbook=16_14.xlsx&amp;sheet=A0&amp;row=192&amp;col=11&amp;number=&amp;sourceID=49","")</f>
        <v/>
      </c>
    </row>
    <row r="193" spans="1:11">
      <c r="A193" s="3">
        <v>16</v>
      </c>
      <c r="B193" s="3">
        <v>14</v>
      </c>
      <c r="C193" s="3">
        <v>36</v>
      </c>
      <c r="D193" s="3">
        <v>17</v>
      </c>
      <c r="E193" s="3">
        <f>((1/(INDEX(E0!J$4:J$47,C193,1)-INDEX(E0!J$4:J$47,D193,1))))*100000000</f>
        <v>0</v>
      </c>
      <c r="F193" s="4" t="str">
        <f>HYPERLINK("http://141.218.60.56/~jnz1568/getInfo.php?workbook=16_14.xlsx&amp;sheet=A0&amp;row=193&amp;col=6&amp;number=588290&amp;sourceID=48","588290")</f>
        <v>588290</v>
      </c>
      <c r="G193" s="4" t="str">
        <f>HYPERLINK("http://141.218.60.56/~jnz1568/getInfo.php?workbook=16_14.xlsx&amp;sheet=A0&amp;row=193&amp;col=7&amp;number=&amp;sourceID=48","")</f>
        <v/>
      </c>
      <c r="H193" s="4" t="str">
        <f>HYPERLINK("http://141.218.60.56/~jnz1568/getInfo.php?workbook=16_14.xlsx&amp;sheet=A0&amp;row=193&amp;col=8&amp;number=&amp;sourceID=48","")</f>
        <v/>
      </c>
      <c r="I193" s="4" t="str">
        <f>HYPERLINK("http://141.218.60.56/~jnz1568/getInfo.php?workbook=16_14.xlsx&amp;sheet=A0&amp;row=193&amp;col=9&amp;number=&amp;sourceID=48","")</f>
        <v/>
      </c>
      <c r="J193" s="4" t="str">
        <f>HYPERLINK("http://141.218.60.56/~jnz1568/getInfo.php?workbook=16_14.xlsx&amp;sheet=A0&amp;row=193&amp;col=10&amp;number=&amp;sourceID=49","")</f>
        <v/>
      </c>
      <c r="K193" s="4" t="str">
        <f>HYPERLINK("http://141.218.60.56/~jnz1568/getInfo.php?workbook=16_14.xlsx&amp;sheet=A0&amp;row=193&amp;col=11&amp;number=&amp;sourceID=49","")</f>
        <v/>
      </c>
    </row>
    <row r="194" spans="1:11">
      <c r="A194" s="3">
        <v>16</v>
      </c>
      <c r="B194" s="3">
        <v>14</v>
      </c>
      <c r="C194" s="3">
        <v>36</v>
      </c>
      <c r="D194" s="3">
        <v>18</v>
      </c>
      <c r="E194" s="3">
        <f>((1/(INDEX(E0!J$4:J$47,C194,1)-INDEX(E0!J$4:J$47,D194,1))))*100000000</f>
        <v>0</v>
      </c>
      <c r="F194" s="4" t="str">
        <f>HYPERLINK("http://141.218.60.56/~jnz1568/getInfo.php?workbook=16_14.xlsx&amp;sheet=A0&amp;row=194&amp;col=6&amp;number=301820&amp;sourceID=48","301820")</f>
        <v>301820</v>
      </c>
      <c r="G194" s="4" t="str">
        <f>HYPERLINK("http://141.218.60.56/~jnz1568/getInfo.php?workbook=16_14.xlsx&amp;sheet=A0&amp;row=194&amp;col=7&amp;number=&amp;sourceID=48","")</f>
        <v/>
      </c>
      <c r="H194" s="4" t="str">
        <f>HYPERLINK("http://141.218.60.56/~jnz1568/getInfo.php?workbook=16_14.xlsx&amp;sheet=A0&amp;row=194&amp;col=8&amp;number=&amp;sourceID=48","")</f>
        <v/>
      </c>
      <c r="I194" s="4" t="str">
        <f>HYPERLINK("http://141.218.60.56/~jnz1568/getInfo.php?workbook=16_14.xlsx&amp;sheet=A0&amp;row=194&amp;col=9&amp;number=&amp;sourceID=48","")</f>
        <v/>
      </c>
      <c r="J194" s="4" t="str">
        <f>HYPERLINK("http://141.218.60.56/~jnz1568/getInfo.php?workbook=16_14.xlsx&amp;sheet=A0&amp;row=194&amp;col=10&amp;number=&amp;sourceID=49","")</f>
        <v/>
      </c>
      <c r="K194" s="4" t="str">
        <f>HYPERLINK("http://141.218.60.56/~jnz1568/getInfo.php?workbook=16_14.xlsx&amp;sheet=A0&amp;row=194&amp;col=11&amp;number=&amp;sourceID=49","")</f>
        <v/>
      </c>
    </row>
    <row r="195" spans="1:11">
      <c r="A195" s="3">
        <v>16</v>
      </c>
      <c r="B195" s="3">
        <v>14</v>
      </c>
      <c r="C195" s="3">
        <v>36</v>
      </c>
      <c r="D195" s="3">
        <v>20</v>
      </c>
      <c r="E195" s="3">
        <f>((1/(INDEX(E0!J$4:J$47,C195,1)-INDEX(E0!J$4:J$47,D195,1))))*100000000</f>
        <v>0</v>
      </c>
      <c r="F195" s="4" t="str">
        <f>HYPERLINK("http://141.218.60.56/~jnz1568/getInfo.php?workbook=16_14.xlsx&amp;sheet=A0&amp;row=195&amp;col=6&amp;number=192600000&amp;sourceID=48","192600000")</f>
        <v>192600000</v>
      </c>
      <c r="G195" s="4" t="str">
        <f>HYPERLINK("http://141.218.60.56/~jnz1568/getInfo.php?workbook=16_14.xlsx&amp;sheet=A0&amp;row=195&amp;col=7&amp;number=&amp;sourceID=48","")</f>
        <v/>
      </c>
      <c r="H195" s="4" t="str">
        <f>HYPERLINK("http://141.218.60.56/~jnz1568/getInfo.php?workbook=16_14.xlsx&amp;sheet=A0&amp;row=195&amp;col=8&amp;number=&amp;sourceID=48","")</f>
        <v/>
      </c>
      <c r="I195" s="4" t="str">
        <f>HYPERLINK("http://141.218.60.56/~jnz1568/getInfo.php?workbook=16_14.xlsx&amp;sheet=A0&amp;row=195&amp;col=9&amp;number=&amp;sourceID=48","")</f>
        <v/>
      </c>
      <c r="J195" s="4" t="str">
        <f>HYPERLINK("http://141.218.60.56/~jnz1568/getInfo.php?workbook=16_14.xlsx&amp;sheet=A0&amp;row=195&amp;col=10&amp;number=&amp;sourceID=49","")</f>
        <v/>
      </c>
      <c r="K195" s="4" t="str">
        <f>HYPERLINK("http://141.218.60.56/~jnz1568/getInfo.php?workbook=16_14.xlsx&amp;sheet=A0&amp;row=195&amp;col=11&amp;number=&amp;sourceID=49","")</f>
        <v/>
      </c>
    </row>
    <row r="196" spans="1:11">
      <c r="A196" s="3">
        <v>16</v>
      </c>
      <c r="B196" s="3">
        <v>14</v>
      </c>
      <c r="C196" s="3">
        <v>36</v>
      </c>
      <c r="D196" s="3">
        <v>23</v>
      </c>
      <c r="E196" s="3">
        <f>((1/(INDEX(E0!J$4:J$47,C196,1)-INDEX(E0!J$4:J$47,D196,1))))*100000000</f>
        <v>0</v>
      </c>
      <c r="F196" s="4" t="str">
        <f>HYPERLINK("http://141.218.60.56/~jnz1568/getInfo.php?workbook=16_14.xlsx&amp;sheet=A0&amp;row=196&amp;col=6&amp;number=18350000&amp;sourceID=48","18350000")</f>
        <v>18350000</v>
      </c>
      <c r="G196" s="4" t="str">
        <f>HYPERLINK("http://141.218.60.56/~jnz1568/getInfo.php?workbook=16_14.xlsx&amp;sheet=A0&amp;row=196&amp;col=7&amp;number=&amp;sourceID=48","")</f>
        <v/>
      </c>
      <c r="H196" s="4" t="str">
        <f>HYPERLINK("http://141.218.60.56/~jnz1568/getInfo.php?workbook=16_14.xlsx&amp;sheet=A0&amp;row=196&amp;col=8&amp;number=&amp;sourceID=48","")</f>
        <v/>
      </c>
      <c r="I196" s="4" t="str">
        <f>HYPERLINK("http://141.218.60.56/~jnz1568/getInfo.php?workbook=16_14.xlsx&amp;sheet=A0&amp;row=196&amp;col=9&amp;number=&amp;sourceID=48","")</f>
        <v/>
      </c>
      <c r="J196" s="4" t="str">
        <f>HYPERLINK("http://141.218.60.56/~jnz1568/getInfo.php?workbook=16_14.xlsx&amp;sheet=A0&amp;row=196&amp;col=10&amp;number=&amp;sourceID=49","")</f>
        <v/>
      </c>
      <c r="K196" s="4" t="str">
        <f>HYPERLINK("http://141.218.60.56/~jnz1568/getInfo.php?workbook=16_14.xlsx&amp;sheet=A0&amp;row=196&amp;col=11&amp;number=&amp;sourceID=49","")</f>
        <v/>
      </c>
    </row>
    <row r="197" spans="1:11">
      <c r="A197" s="3">
        <v>16</v>
      </c>
      <c r="B197" s="3">
        <v>14</v>
      </c>
      <c r="C197" s="3">
        <v>36</v>
      </c>
      <c r="D197" s="3">
        <v>25</v>
      </c>
      <c r="E197" s="3">
        <f>((1/(INDEX(E0!J$4:J$47,C197,1)-INDEX(E0!J$4:J$47,D197,1))))*100000000</f>
        <v>0</v>
      </c>
      <c r="F197" s="4" t="str">
        <f>HYPERLINK("http://141.218.60.56/~jnz1568/getInfo.php?workbook=16_14.xlsx&amp;sheet=A0&amp;row=197&amp;col=6&amp;number=50887000&amp;sourceID=48","50887000")</f>
        <v>50887000</v>
      </c>
      <c r="G197" s="4" t="str">
        <f>HYPERLINK("http://141.218.60.56/~jnz1568/getInfo.php?workbook=16_14.xlsx&amp;sheet=A0&amp;row=197&amp;col=7&amp;number=&amp;sourceID=48","")</f>
        <v/>
      </c>
      <c r="H197" s="4" t="str">
        <f>HYPERLINK("http://141.218.60.56/~jnz1568/getInfo.php?workbook=16_14.xlsx&amp;sheet=A0&amp;row=197&amp;col=8&amp;number=&amp;sourceID=48","")</f>
        <v/>
      </c>
      <c r="I197" s="4" t="str">
        <f>HYPERLINK("http://141.218.60.56/~jnz1568/getInfo.php?workbook=16_14.xlsx&amp;sheet=A0&amp;row=197&amp;col=9&amp;number=&amp;sourceID=48","")</f>
        <v/>
      </c>
      <c r="J197" s="4" t="str">
        <f>HYPERLINK("http://141.218.60.56/~jnz1568/getInfo.php?workbook=16_14.xlsx&amp;sheet=A0&amp;row=197&amp;col=10&amp;number=&amp;sourceID=49","")</f>
        <v/>
      </c>
      <c r="K197" s="4" t="str">
        <f>HYPERLINK("http://141.218.60.56/~jnz1568/getInfo.php?workbook=16_14.xlsx&amp;sheet=A0&amp;row=197&amp;col=11&amp;number=&amp;sourceID=49","")</f>
        <v/>
      </c>
    </row>
    <row r="198" spans="1:11">
      <c r="A198" s="3">
        <v>16</v>
      </c>
      <c r="B198" s="3">
        <v>14</v>
      </c>
      <c r="C198" s="3">
        <v>36</v>
      </c>
      <c r="D198" s="3">
        <v>28</v>
      </c>
      <c r="E198" s="3">
        <f>((1/(INDEX(E0!J$4:J$47,C198,1)-INDEX(E0!J$4:J$47,D198,1))))*100000000</f>
        <v>0</v>
      </c>
      <c r="F198" s="4" t="str">
        <f>HYPERLINK("http://141.218.60.56/~jnz1568/getInfo.php?workbook=16_14.xlsx&amp;sheet=A0&amp;row=198&amp;col=6&amp;number=1088100&amp;sourceID=48","1088100")</f>
        <v>1088100</v>
      </c>
      <c r="G198" s="4" t="str">
        <f>HYPERLINK("http://141.218.60.56/~jnz1568/getInfo.php?workbook=16_14.xlsx&amp;sheet=A0&amp;row=198&amp;col=7&amp;number=&amp;sourceID=48","")</f>
        <v/>
      </c>
      <c r="H198" s="4" t="str">
        <f>HYPERLINK("http://141.218.60.56/~jnz1568/getInfo.php?workbook=16_14.xlsx&amp;sheet=A0&amp;row=198&amp;col=8&amp;number=&amp;sourceID=48","")</f>
        <v/>
      </c>
      <c r="I198" s="4" t="str">
        <f>HYPERLINK("http://141.218.60.56/~jnz1568/getInfo.php?workbook=16_14.xlsx&amp;sheet=A0&amp;row=198&amp;col=9&amp;number=&amp;sourceID=48","")</f>
        <v/>
      </c>
      <c r="J198" s="4" t="str">
        <f>HYPERLINK("http://141.218.60.56/~jnz1568/getInfo.php?workbook=16_14.xlsx&amp;sheet=A0&amp;row=198&amp;col=10&amp;number=&amp;sourceID=49","")</f>
        <v/>
      </c>
      <c r="K198" s="4" t="str">
        <f>HYPERLINK("http://141.218.60.56/~jnz1568/getInfo.php?workbook=16_14.xlsx&amp;sheet=A0&amp;row=198&amp;col=11&amp;number=&amp;sourceID=49","")</f>
        <v/>
      </c>
    </row>
    <row r="199" spans="1:11">
      <c r="A199" s="3">
        <v>16</v>
      </c>
      <c r="B199" s="3">
        <v>14</v>
      </c>
      <c r="C199" s="3">
        <v>36</v>
      </c>
      <c r="D199" s="3">
        <v>31</v>
      </c>
      <c r="E199" s="3">
        <f>((1/(INDEX(E0!J$4:J$47,C199,1)-INDEX(E0!J$4:J$47,D199,1))))*100000000</f>
        <v>0</v>
      </c>
      <c r="F199" s="4" t="str">
        <f>HYPERLINK("http://141.218.60.56/~jnz1568/getInfo.php?workbook=16_14.xlsx&amp;sheet=A0&amp;row=199&amp;col=6&amp;number=862.68&amp;sourceID=48","862.68")</f>
        <v>862.68</v>
      </c>
      <c r="G199" s="4" t="str">
        <f>HYPERLINK("http://141.218.60.56/~jnz1568/getInfo.php?workbook=16_14.xlsx&amp;sheet=A0&amp;row=199&amp;col=7&amp;number=&amp;sourceID=48","")</f>
        <v/>
      </c>
      <c r="H199" s="4" t="str">
        <f>HYPERLINK("http://141.218.60.56/~jnz1568/getInfo.php?workbook=16_14.xlsx&amp;sheet=A0&amp;row=199&amp;col=8&amp;number=&amp;sourceID=48","")</f>
        <v/>
      </c>
      <c r="I199" s="4" t="str">
        <f>HYPERLINK("http://141.218.60.56/~jnz1568/getInfo.php?workbook=16_14.xlsx&amp;sheet=A0&amp;row=199&amp;col=9&amp;number=&amp;sourceID=48","")</f>
        <v/>
      </c>
      <c r="J199" s="4" t="str">
        <f>HYPERLINK("http://141.218.60.56/~jnz1568/getInfo.php?workbook=16_14.xlsx&amp;sheet=A0&amp;row=199&amp;col=10&amp;number=&amp;sourceID=49","")</f>
        <v/>
      </c>
      <c r="K199" s="4" t="str">
        <f>HYPERLINK("http://141.218.60.56/~jnz1568/getInfo.php?workbook=16_14.xlsx&amp;sheet=A0&amp;row=199&amp;col=11&amp;number=&amp;sourceID=49","")</f>
        <v/>
      </c>
    </row>
    <row r="200" spans="1:11">
      <c r="A200" s="3">
        <v>16</v>
      </c>
      <c r="B200" s="3">
        <v>14</v>
      </c>
      <c r="C200" s="3">
        <v>37</v>
      </c>
      <c r="D200" s="3">
        <v>6</v>
      </c>
      <c r="E200" s="3">
        <f>((1/(INDEX(E0!J$4:J$47,C200,1)-INDEX(E0!J$4:J$47,D200,1))))*100000000</f>
        <v>0</v>
      </c>
      <c r="F200" s="4" t="str">
        <f>HYPERLINK("http://141.218.60.56/~jnz1568/getInfo.php?workbook=16_14.xlsx&amp;sheet=A0&amp;row=200&amp;col=6&amp;number=3320.3&amp;sourceID=48","3320.3")</f>
        <v>3320.3</v>
      </c>
      <c r="G200" s="4" t="str">
        <f>HYPERLINK("http://141.218.60.56/~jnz1568/getInfo.php?workbook=16_14.xlsx&amp;sheet=A0&amp;row=200&amp;col=7&amp;number=&amp;sourceID=48","")</f>
        <v/>
      </c>
      <c r="H200" s="4" t="str">
        <f>HYPERLINK("http://141.218.60.56/~jnz1568/getInfo.php?workbook=16_14.xlsx&amp;sheet=A0&amp;row=200&amp;col=8&amp;number=&amp;sourceID=48","")</f>
        <v/>
      </c>
      <c r="I200" s="4" t="str">
        <f>HYPERLINK("http://141.218.60.56/~jnz1568/getInfo.php?workbook=16_14.xlsx&amp;sheet=A0&amp;row=200&amp;col=9&amp;number=&amp;sourceID=48","")</f>
        <v/>
      </c>
      <c r="J200" s="4" t="str">
        <f>HYPERLINK("http://141.218.60.56/~jnz1568/getInfo.php?workbook=16_14.xlsx&amp;sheet=A0&amp;row=200&amp;col=10&amp;number=&amp;sourceID=49","")</f>
        <v/>
      </c>
      <c r="K200" s="4" t="str">
        <f>HYPERLINK("http://141.218.60.56/~jnz1568/getInfo.php?workbook=16_14.xlsx&amp;sheet=A0&amp;row=200&amp;col=11&amp;number=&amp;sourceID=49","")</f>
        <v/>
      </c>
    </row>
    <row r="201" spans="1:11">
      <c r="A201" s="3">
        <v>16</v>
      </c>
      <c r="B201" s="3">
        <v>14</v>
      </c>
      <c r="C201" s="3">
        <v>37</v>
      </c>
      <c r="D201" s="3">
        <v>7</v>
      </c>
      <c r="E201" s="3">
        <f>((1/(INDEX(E0!J$4:J$47,C201,1)-INDEX(E0!J$4:J$47,D201,1))))*100000000</f>
        <v>0</v>
      </c>
      <c r="F201" s="4" t="str">
        <f>HYPERLINK("http://141.218.60.56/~jnz1568/getInfo.php?workbook=16_14.xlsx&amp;sheet=A0&amp;row=201&amp;col=6&amp;number=49758000&amp;sourceID=48","49758000")</f>
        <v>49758000</v>
      </c>
      <c r="G201" s="4" t="str">
        <f>HYPERLINK("http://141.218.60.56/~jnz1568/getInfo.php?workbook=16_14.xlsx&amp;sheet=A0&amp;row=201&amp;col=7&amp;number=&amp;sourceID=48","")</f>
        <v/>
      </c>
      <c r="H201" s="4" t="str">
        <f>HYPERLINK("http://141.218.60.56/~jnz1568/getInfo.php?workbook=16_14.xlsx&amp;sheet=A0&amp;row=201&amp;col=8&amp;number=&amp;sourceID=48","")</f>
        <v/>
      </c>
      <c r="I201" s="4" t="str">
        <f>HYPERLINK("http://141.218.60.56/~jnz1568/getInfo.php?workbook=16_14.xlsx&amp;sheet=A0&amp;row=201&amp;col=9&amp;number=&amp;sourceID=48","")</f>
        <v/>
      </c>
      <c r="J201" s="4" t="str">
        <f>HYPERLINK("http://141.218.60.56/~jnz1568/getInfo.php?workbook=16_14.xlsx&amp;sheet=A0&amp;row=201&amp;col=10&amp;number=&amp;sourceID=49","")</f>
        <v/>
      </c>
      <c r="K201" s="4" t="str">
        <f>HYPERLINK("http://141.218.60.56/~jnz1568/getInfo.php?workbook=16_14.xlsx&amp;sheet=A0&amp;row=201&amp;col=11&amp;number=&amp;sourceID=49","")</f>
        <v/>
      </c>
    </row>
    <row r="202" spans="1:11">
      <c r="A202" s="3">
        <v>16</v>
      </c>
      <c r="B202" s="3">
        <v>14</v>
      </c>
      <c r="C202" s="3">
        <v>37</v>
      </c>
      <c r="D202" s="3">
        <v>8</v>
      </c>
      <c r="E202" s="3">
        <f>((1/(INDEX(E0!J$4:J$47,C202,1)-INDEX(E0!J$4:J$47,D202,1))))*100000000</f>
        <v>0</v>
      </c>
      <c r="F202" s="4" t="str">
        <f>HYPERLINK("http://141.218.60.56/~jnz1568/getInfo.php?workbook=16_14.xlsx&amp;sheet=A0&amp;row=202&amp;col=6&amp;number=135760000&amp;sourceID=48","135760000")</f>
        <v>135760000</v>
      </c>
      <c r="G202" s="4" t="str">
        <f>HYPERLINK("http://141.218.60.56/~jnz1568/getInfo.php?workbook=16_14.xlsx&amp;sheet=A0&amp;row=202&amp;col=7&amp;number=&amp;sourceID=48","")</f>
        <v/>
      </c>
      <c r="H202" s="4" t="str">
        <f>HYPERLINK("http://141.218.60.56/~jnz1568/getInfo.php?workbook=16_14.xlsx&amp;sheet=A0&amp;row=202&amp;col=8&amp;number=&amp;sourceID=48","")</f>
        <v/>
      </c>
      <c r="I202" s="4" t="str">
        <f>HYPERLINK("http://141.218.60.56/~jnz1568/getInfo.php?workbook=16_14.xlsx&amp;sheet=A0&amp;row=202&amp;col=9&amp;number=&amp;sourceID=48","")</f>
        <v/>
      </c>
      <c r="J202" s="4" t="str">
        <f>HYPERLINK("http://141.218.60.56/~jnz1568/getInfo.php?workbook=16_14.xlsx&amp;sheet=A0&amp;row=202&amp;col=10&amp;number=&amp;sourceID=49","")</f>
        <v/>
      </c>
      <c r="K202" s="4" t="str">
        <f>HYPERLINK("http://141.218.60.56/~jnz1568/getInfo.php?workbook=16_14.xlsx&amp;sheet=A0&amp;row=202&amp;col=11&amp;number=&amp;sourceID=49","")</f>
        <v/>
      </c>
    </row>
    <row r="203" spans="1:11">
      <c r="A203" s="3">
        <v>16</v>
      </c>
      <c r="B203" s="3">
        <v>14</v>
      </c>
      <c r="C203" s="3">
        <v>37</v>
      </c>
      <c r="D203" s="3">
        <v>10</v>
      </c>
      <c r="E203" s="3">
        <f>((1/(INDEX(E0!J$4:J$47,C203,1)-INDEX(E0!J$4:J$47,D203,1))))*100000000</f>
        <v>0</v>
      </c>
      <c r="F203" s="4" t="str">
        <f>HYPERLINK("http://141.218.60.56/~jnz1568/getInfo.php?workbook=16_14.xlsx&amp;sheet=A0&amp;row=203&amp;col=6&amp;number=31688000&amp;sourceID=48","31688000")</f>
        <v>31688000</v>
      </c>
      <c r="G203" s="4" t="str">
        <f>HYPERLINK("http://141.218.60.56/~jnz1568/getInfo.php?workbook=16_14.xlsx&amp;sheet=A0&amp;row=203&amp;col=7&amp;number=&amp;sourceID=48","")</f>
        <v/>
      </c>
      <c r="H203" s="4" t="str">
        <f>HYPERLINK("http://141.218.60.56/~jnz1568/getInfo.php?workbook=16_14.xlsx&amp;sheet=A0&amp;row=203&amp;col=8&amp;number=&amp;sourceID=48","")</f>
        <v/>
      </c>
      <c r="I203" s="4" t="str">
        <f>HYPERLINK("http://141.218.60.56/~jnz1568/getInfo.php?workbook=16_14.xlsx&amp;sheet=A0&amp;row=203&amp;col=9&amp;number=&amp;sourceID=48","")</f>
        <v/>
      </c>
      <c r="J203" s="4" t="str">
        <f>HYPERLINK("http://141.218.60.56/~jnz1568/getInfo.php?workbook=16_14.xlsx&amp;sheet=A0&amp;row=203&amp;col=10&amp;number=&amp;sourceID=49","")</f>
        <v/>
      </c>
      <c r="K203" s="4" t="str">
        <f>HYPERLINK("http://141.218.60.56/~jnz1568/getInfo.php?workbook=16_14.xlsx&amp;sheet=A0&amp;row=203&amp;col=11&amp;number=&amp;sourceID=49","")</f>
        <v/>
      </c>
    </row>
    <row r="204" spans="1:11">
      <c r="A204" s="3">
        <v>16</v>
      </c>
      <c r="B204" s="3">
        <v>14</v>
      </c>
      <c r="C204" s="3">
        <v>37</v>
      </c>
      <c r="D204" s="3">
        <v>11</v>
      </c>
      <c r="E204" s="3">
        <f>((1/(INDEX(E0!J$4:J$47,C204,1)-INDEX(E0!J$4:J$47,D204,1))))*100000000</f>
        <v>0</v>
      </c>
      <c r="F204" s="4" t="str">
        <f>HYPERLINK("http://141.218.60.56/~jnz1568/getInfo.php?workbook=16_14.xlsx&amp;sheet=A0&amp;row=204&amp;col=6&amp;number=587250&amp;sourceID=48","587250")</f>
        <v>587250</v>
      </c>
      <c r="G204" s="4" t="str">
        <f>HYPERLINK("http://141.218.60.56/~jnz1568/getInfo.php?workbook=16_14.xlsx&amp;sheet=A0&amp;row=204&amp;col=7&amp;number=&amp;sourceID=48","")</f>
        <v/>
      </c>
      <c r="H204" s="4" t="str">
        <f>HYPERLINK("http://141.218.60.56/~jnz1568/getInfo.php?workbook=16_14.xlsx&amp;sheet=A0&amp;row=204&amp;col=8&amp;number=&amp;sourceID=48","")</f>
        <v/>
      </c>
      <c r="I204" s="4" t="str">
        <f>HYPERLINK("http://141.218.60.56/~jnz1568/getInfo.php?workbook=16_14.xlsx&amp;sheet=A0&amp;row=204&amp;col=9&amp;number=&amp;sourceID=48","")</f>
        <v/>
      </c>
      <c r="J204" s="4" t="str">
        <f>HYPERLINK("http://141.218.60.56/~jnz1568/getInfo.php?workbook=16_14.xlsx&amp;sheet=A0&amp;row=204&amp;col=10&amp;number=&amp;sourceID=49","")</f>
        <v/>
      </c>
      <c r="K204" s="4" t="str">
        <f>HYPERLINK("http://141.218.60.56/~jnz1568/getInfo.php?workbook=16_14.xlsx&amp;sheet=A0&amp;row=204&amp;col=11&amp;number=&amp;sourceID=49","")</f>
        <v/>
      </c>
    </row>
    <row r="205" spans="1:11">
      <c r="A205" s="3">
        <v>16</v>
      </c>
      <c r="B205" s="3">
        <v>14</v>
      </c>
      <c r="C205" s="3">
        <v>37</v>
      </c>
      <c r="D205" s="3">
        <v>12</v>
      </c>
      <c r="E205" s="3">
        <f>((1/(INDEX(E0!J$4:J$47,C205,1)-INDEX(E0!J$4:J$47,D205,1))))*100000000</f>
        <v>0</v>
      </c>
      <c r="F205" s="4" t="str">
        <f>HYPERLINK("http://141.218.60.56/~jnz1568/getInfo.php?workbook=16_14.xlsx&amp;sheet=A0&amp;row=205&amp;col=6&amp;number=4372200&amp;sourceID=48","4372200")</f>
        <v>4372200</v>
      </c>
      <c r="G205" s="4" t="str">
        <f>HYPERLINK("http://141.218.60.56/~jnz1568/getInfo.php?workbook=16_14.xlsx&amp;sheet=A0&amp;row=205&amp;col=7&amp;number=&amp;sourceID=48","")</f>
        <v/>
      </c>
      <c r="H205" s="4" t="str">
        <f>HYPERLINK("http://141.218.60.56/~jnz1568/getInfo.php?workbook=16_14.xlsx&amp;sheet=A0&amp;row=205&amp;col=8&amp;number=&amp;sourceID=48","")</f>
        <v/>
      </c>
      <c r="I205" s="4" t="str">
        <f>HYPERLINK("http://141.218.60.56/~jnz1568/getInfo.php?workbook=16_14.xlsx&amp;sheet=A0&amp;row=205&amp;col=9&amp;number=&amp;sourceID=48","")</f>
        <v/>
      </c>
      <c r="J205" s="4" t="str">
        <f>HYPERLINK("http://141.218.60.56/~jnz1568/getInfo.php?workbook=16_14.xlsx&amp;sheet=A0&amp;row=205&amp;col=10&amp;number=&amp;sourceID=49","")</f>
        <v/>
      </c>
      <c r="K205" s="4" t="str">
        <f>HYPERLINK("http://141.218.60.56/~jnz1568/getInfo.php?workbook=16_14.xlsx&amp;sheet=A0&amp;row=205&amp;col=11&amp;number=&amp;sourceID=49","")</f>
        <v/>
      </c>
    </row>
    <row r="206" spans="1:11">
      <c r="A206" s="3">
        <v>16</v>
      </c>
      <c r="B206" s="3">
        <v>14</v>
      </c>
      <c r="C206" s="3">
        <v>37</v>
      </c>
      <c r="D206" s="3">
        <v>13</v>
      </c>
      <c r="E206" s="3">
        <f>((1/(INDEX(E0!J$4:J$47,C206,1)-INDEX(E0!J$4:J$47,D206,1))))*100000000</f>
        <v>0</v>
      </c>
      <c r="F206" s="4" t="str">
        <f>HYPERLINK("http://141.218.60.56/~jnz1568/getInfo.php?workbook=16_14.xlsx&amp;sheet=A0&amp;row=206&amp;col=6&amp;number=1169000&amp;sourceID=48","1169000")</f>
        <v>1169000</v>
      </c>
      <c r="G206" s="4" t="str">
        <f>HYPERLINK("http://141.218.60.56/~jnz1568/getInfo.php?workbook=16_14.xlsx&amp;sheet=A0&amp;row=206&amp;col=7&amp;number=&amp;sourceID=48","")</f>
        <v/>
      </c>
      <c r="H206" s="4" t="str">
        <f>HYPERLINK("http://141.218.60.56/~jnz1568/getInfo.php?workbook=16_14.xlsx&amp;sheet=A0&amp;row=206&amp;col=8&amp;number=&amp;sourceID=48","")</f>
        <v/>
      </c>
      <c r="I206" s="4" t="str">
        <f>HYPERLINK("http://141.218.60.56/~jnz1568/getInfo.php?workbook=16_14.xlsx&amp;sheet=A0&amp;row=206&amp;col=9&amp;number=&amp;sourceID=48","")</f>
        <v/>
      </c>
      <c r="J206" s="4" t="str">
        <f>HYPERLINK("http://141.218.60.56/~jnz1568/getInfo.php?workbook=16_14.xlsx&amp;sheet=A0&amp;row=206&amp;col=10&amp;number=&amp;sourceID=49","")</f>
        <v/>
      </c>
      <c r="K206" s="4" t="str">
        <f>HYPERLINK("http://141.218.60.56/~jnz1568/getInfo.php?workbook=16_14.xlsx&amp;sheet=A0&amp;row=206&amp;col=11&amp;number=&amp;sourceID=49","")</f>
        <v/>
      </c>
    </row>
    <row r="207" spans="1:11">
      <c r="A207" s="3">
        <v>16</v>
      </c>
      <c r="B207" s="3">
        <v>14</v>
      </c>
      <c r="C207" s="3">
        <v>37</v>
      </c>
      <c r="D207" s="3">
        <v>14</v>
      </c>
      <c r="E207" s="3">
        <f>((1/(INDEX(E0!J$4:J$47,C207,1)-INDEX(E0!J$4:J$47,D207,1))))*100000000</f>
        <v>0</v>
      </c>
      <c r="F207" s="4" t="str">
        <f>HYPERLINK("http://141.218.60.56/~jnz1568/getInfo.php?workbook=16_14.xlsx&amp;sheet=A0&amp;row=207&amp;col=6&amp;number=859880&amp;sourceID=48","859880")</f>
        <v>859880</v>
      </c>
      <c r="G207" s="4" t="str">
        <f>HYPERLINK("http://141.218.60.56/~jnz1568/getInfo.php?workbook=16_14.xlsx&amp;sheet=A0&amp;row=207&amp;col=7&amp;number=&amp;sourceID=48","")</f>
        <v/>
      </c>
      <c r="H207" s="4" t="str">
        <f>HYPERLINK("http://141.218.60.56/~jnz1568/getInfo.php?workbook=16_14.xlsx&amp;sheet=A0&amp;row=207&amp;col=8&amp;number=&amp;sourceID=48","")</f>
        <v/>
      </c>
      <c r="I207" s="4" t="str">
        <f>HYPERLINK("http://141.218.60.56/~jnz1568/getInfo.php?workbook=16_14.xlsx&amp;sheet=A0&amp;row=207&amp;col=9&amp;number=&amp;sourceID=48","")</f>
        <v/>
      </c>
      <c r="J207" s="4" t="str">
        <f>HYPERLINK("http://141.218.60.56/~jnz1568/getInfo.php?workbook=16_14.xlsx&amp;sheet=A0&amp;row=207&amp;col=10&amp;number=&amp;sourceID=49","")</f>
        <v/>
      </c>
      <c r="K207" s="4" t="str">
        <f>HYPERLINK("http://141.218.60.56/~jnz1568/getInfo.php?workbook=16_14.xlsx&amp;sheet=A0&amp;row=207&amp;col=11&amp;number=&amp;sourceID=49","")</f>
        <v/>
      </c>
    </row>
    <row r="208" spans="1:11">
      <c r="A208" s="3">
        <v>16</v>
      </c>
      <c r="B208" s="3">
        <v>14</v>
      </c>
      <c r="C208" s="3">
        <v>37</v>
      </c>
      <c r="D208" s="3">
        <v>17</v>
      </c>
      <c r="E208" s="3">
        <f>((1/(INDEX(E0!J$4:J$47,C208,1)-INDEX(E0!J$4:J$47,D208,1))))*100000000</f>
        <v>0</v>
      </c>
      <c r="F208" s="4" t="str">
        <f>HYPERLINK("http://141.218.60.56/~jnz1568/getInfo.php?workbook=16_14.xlsx&amp;sheet=A0&amp;row=208&amp;col=6&amp;number=30213&amp;sourceID=48","30213")</f>
        <v>30213</v>
      </c>
      <c r="G208" s="4" t="str">
        <f>HYPERLINK("http://141.218.60.56/~jnz1568/getInfo.php?workbook=16_14.xlsx&amp;sheet=A0&amp;row=208&amp;col=7&amp;number=&amp;sourceID=48","")</f>
        <v/>
      </c>
      <c r="H208" s="4" t="str">
        <f>HYPERLINK("http://141.218.60.56/~jnz1568/getInfo.php?workbook=16_14.xlsx&amp;sheet=A0&amp;row=208&amp;col=8&amp;number=&amp;sourceID=48","")</f>
        <v/>
      </c>
      <c r="I208" s="4" t="str">
        <f>HYPERLINK("http://141.218.60.56/~jnz1568/getInfo.php?workbook=16_14.xlsx&amp;sheet=A0&amp;row=208&amp;col=9&amp;number=&amp;sourceID=48","")</f>
        <v/>
      </c>
      <c r="J208" s="4" t="str">
        <f>HYPERLINK("http://141.218.60.56/~jnz1568/getInfo.php?workbook=16_14.xlsx&amp;sheet=A0&amp;row=208&amp;col=10&amp;number=&amp;sourceID=49","")</f>
        <v/>
      </c>
      <c r="K208" s="4" t="str">
        <f>HYPERLINK("http://141.218.60.56/~jnz1568/getInfo.php?workbook=16_14.xlsx&amp;sheet=A0&amp;row=208&amp;col=11&amp;number=&amp;sourceID=49","")</f>
        <v/>
      </c>
    </row>
    <row r="209" spans="1:11">
      <c r="A209" s="3">
        <v>16</v>
      </c>
      <c r="B209" s="3">
        <v>14</v>
      </c>
      <c r="C209" s="3">
        <v>37</v>
      </c>
      <c r="D209" s="3">
        <v>18</v>
      </c>
      <c r="E209" s="3">
        <f>((1/(INDEX(E0!J$4:J$47,C209,1)-INDEX(E0!J$4:J$47,D209,1))))*100000000</f>
        <v>0</v>
      </c>
      <c r="F209" s="4" t="str">
        <f>HYPERLINK("http://141.218.60.56/~jnz1568/getInfo.php?workbook=16_14.xlsx&amp;sheet=A0&amp;row=209&amp;col=6&amp;number=67305&amp;sourceID=48","67305")</f>
        <v>67305</v>
      </c>
      <c r="G209" s="4" t="str">
        <f>HYPERLINK("http://141.218.60.56/~jnz1568/getInfo.php?workbook=16_14.xlsx&amp;sheet=A0&amp;row=209&amp;col=7&amp;number=&amp;sourceID=48","")</f>
        <v/>
      </c>
      <c r="H209" s="4" t="str">
        <f>HYPERLINK("http://141.218.60.56/~jnz1568/getInfo.php?workbook=16_14.xlsx&amp;sheet=A0&amp;row=209&amp;col=8&amp;number=&amp;sourceID=48","")</f>
        <v/>
      </c>
      <c r="I209" s="4" t="str">
        <f>HYPERLINK("http://141.218.60.56/~jnz1568/getInfo.php?workbook=16_14.xlsx&amp;sheet=A0&amp;row=209&amp;col=9&amp;number=&amp;sourceID=48","")</f>
        <v/>
      </c>
      <c r="J209" s="4" t="str">
        <f>HYPERLINK("http://141.218.60.56/~jnz1568/getInfo.php?workbook=16_14.xlsx&amp;sheet=A0&amp;row=209&amp;col=10&amp;number=&amp;sourceID=49","")</f>
        <v/>
      </c>
      <c r="K209" s="4" t="str">
        <f>HYPERLINK("http://141.218.60.56/~jnz1568/getInfo.php?workbook=16_14.xlsx&amp;sheet=A0&amp;row=209&amp;col=11&amp;number=&amp;sourceID=49","")</f>
        <v/>
      </c>
    </row>
    <row r="210" spans="1:11">
      <c r="A210" s="3">
        <v>16</v>
      </c>
      <c r="B210" s="3">
        <v>14</v>
      </c>
      <c r="C210" s="3">
        <v>37</v>
      </c>
      <c r="D210" s="3">
        <v>19</v>
      </c>
      <c r="E210" s="3">
        <f>((1/(INDEX(E0!J$4:J$47,C210,1)-INDEX(E0!J$4:J$47,D210,1))))*100000000</f>
        <v>0</v>
      </c>
      <c r="F210" s="4" t="str">
        <f>HYPERLINK("http://141.218.60.56/~jnz1568/getInfo.php?workbook=16_14.xlsx&amp;sheet=A0&amp;row=210&amp;col=6&amp;number=60168000&amp;sourceID=48","60168000")</f>
        <v>60168000</v>
      </c>
      <c r="G210" s="4" t="str">
        <f>HYPERLINK("http://141.218.60.56/~jnz1568/getInfo.php?workbook=16_14.xlsx&amp;sheet=A0&amp;row=210&amp;col=7&amp;number=&amp;sourceID=48","")</f>
        <v/>
      </c>
      <c r="H210" s="4" t="str">
        <f>HYPERLINK("http://141.218.60.56/~jnz1568/getInfo.php?workbook=16_14.xlsx&amp;sheet=A0&amp;row=210&amp;col=8&amp;number=&amp;sourceID=48","")</f>
        <v/>
      </c>
      <c r="I210" s="4" t="str">
        <f>HYPERLINK("http://141.218.60.56/~jnz1568/getInfo.php?workbook=16_14.xlsx&amp;sheet=A0&amp;row=210&amp;col=9&amp;number=&amp;sourceID=48","")</f>
        <v/>
      </c>
      <c r="J210" s="4" t="str">
        <f>HYPERLINK("http://141.218.60.56/~jnz1568/getInfo.php?workbook=16_14.xlsx&amp;sheet=A0&amp;row=210&amp;col=10&amp;number=&amp;sourceID=49","")</f>
        <v/>
      </c>
      <c r="K210" s="4" t="str">
        <f>HYPERLINK("http://141.218.60.56/~jnz1568/getInfo.php?workbook=16_14.xlsx&amp;sheet=A0&amp;row=210&amp;col=11&amp;number=&amp;sourceID=49","")</f>
        <v/>
      </c>
    </row>
    <row r="211" spans="1:11">
      <c r="A211" s="3">
        <v>16</v>
      </c>
      <c r="B211" s="3">
        <v>14</v>
      </c>
      <c r="C211" s="3">
        <v>37</v>
      </c>
      <c r="D211" s="3">
        <v>20</v>
      </c>
      <c r="E211" s="3">
        <f>((1/(INDEX(E0!J$4:J$47,C211,1)-INDEX(E0!J$4:J$47,D211,1))))*100000000</f>
        <v>0</v>
      </c>
      <c r="F211" s="4" t="str">
        <f>HYPERLINK("http://141.218.60.56/~jnz1568/getInfo.php?workbook=16_14.xlsx&amp;sheet=A0&amp;row=211&amp;col=6&amp;number=51646000&amp;sourceID=48","51646000")</f>
        <v>51646000</v>
      </c>
      <c r="G211" s="4" t="str">
        <f>HYPERLINK("http://141.218.60.56/~jnz1568/getInfo.php?workbook=16_14.xlsx&amp;sheet=A0&amp;row=211&amp;col=7&amp;number=&amp;sourceID=48","")</f>
        <v/>
      </c>
      <c r="H211" s="4" t="str">
        <f>HYPERLINK("http://141.218.60.56/~jnz1568/getInfo.php?workbook=16_14.xlsx&amp;sheet=A0&amp;row=211&amp;col=8&amp;number=&amp;sourceID=48","")</f>
        <v/>
      </c>
      <c r="I211" s="4" t="str">
        <f>HYPERLINK("http://141.218.60.56/~jnz1568/getInfo.php?workbook=16_14.xlsx&amp;sheet=A0&amp;row=211&amp;col=9&amp;number=&amp;sourceID=48","")</f>
        <v/>
      </c>
      <c r="J211" s="4" t="str">
        <f>HYPERLINK("http://141.218.60.56/~jnz1568/getInfo.php?workbook=16_14.xlsx&amp;sheet=A0&amp;row=211&amp;col=10&amp;number=&amp;sourceID=49","")</f>
        <v/>
      </c>
      <c r="K211" s="4" t="str">
        <f>HYPERLINK("http://141.218.60.56/~jnz1568/getInfo.php?workbook=16_14.xlsx&amp;sheet=A0&amp;row=211&amp;col=11&amp;number=&amp;sourceID=49","")</f>
        <v/>
      </c>
    </row>
    <row r="212" spans="1:11">
      <c r="A212" s="3">
        <v>16</v>
      </c>
      <c r="B212" s="3">
        <v>14</v>
      </c>
      <c r="C212" s="3">
        <v>37</v>
      </c>
      <c r="D212" s="3">
        <v>21</v>
      </c>
      <c r="E212" s="3">
        <f>((1/(INDEX(E0!J$4:J$47,C212,1)-INDEX(E0!J$4:J$47,D212,1))))*100000000</f>
        <v>0</v>
      </c>
      <c r="F212" s="4" t="str">
        <f>HYPERLINK("http://141.218.60.56/~jnz1568/getInfo.php?workbook=16_14.xlsx&amp;sheet=A0&amp;row=212&amp;col=6&amp;number=69365000&amp;sourceID=48","69365000")</f>
        <v>69365000</v>
      </c>
      <c r="G212" s="4" t="str">
        <f>HYPERLINK("http://141.218.60.56/~jnz1568/getInfo.php?workbook=16_14.xlsx&amp;sheet=A0&amp;row=212&amp;col=7&amp;number=&amp;sourceID=48","")</f>
        <v/>
      </c>
      <c r="H212" s="4" t="str">
        <f>HYPERLINK("http://141.218.60.56/~jnz1568/getInfo.php?workbook=16_14.xlsx&amp;sheet=A0&amp;row=212&amp;col=8&amp;number=&amp;sourceID=48","")</f>
        <v/>
      </c>
      <c r="I212" s="4" t="str">
        <f>HYPERLINK("http://141.218.60.56/~jnz1568/getInfo.php?workbook=16_14.xlsx&amp;sheet=A0&amp;row=212&amp;col=9&amp;number=&amp;sourceID=48","")</f>
        <v/>
      </c>
      <c r="J212" s="4" t="str">
        <f>HYPERLINK("http://141.218.60.56/~jnz1568/getInfo.php?workbook=16_14.xlsx&amp;sheet=A0&amp;row=212&amp;col=10&amp;number=&amp;sourceID=49","")</f>
        <v/>
      </c>
      <c r="K212" s="4" t="str">
        <f>HYPERLINK("http://141.218.60.56/~jnz1568/getInfo.php?workbook=16_14.xlsx&amp;sheet=A0&amp;row=212&amp;col=11&amp;number=&amp;sourceID=49","")</f>
        <v/>
      </c>
    </row>
    <row r="213" spans="1:11">
      <c r="A213" s="3">
        <v>16</v>
      </c>
      <c r="B213" s="3">
        <v>14</v>
      </c>
      <c r="C213" s="3">
        <v>37</v>
      </c>
      <c r="D213" s="3">
        <v>22</v>
      </c>
      <c r="E213" s="3">
        <f>((1/(INDEX(E0!J$4:J$47,C213,1)-INDEX(E0!J$4:J$47,D213,1))))*100000000</f>
        <v>0</v>
      </c>
      <c r="F213" s="4" t="str">
        <f>HYPERLINK("http://141.218.60.56/~jnz1568/getInfo.php?workbook=16_14.xlsx&amp;sheet=A0&amp;row=213&amp;col=6&amp;number=12336000&amp;sourceID=48","12336000")</f>
        <v>12336000</v>
      </c>
      <c r="G213" s="4" t="str">
        <f>HYPERLINK("http://141.218.60.56/~jnz1568/getInfo.php?workbook=16_14.xlsx&amp;sheet=A0&amp;row=213&amp;col=7&amp;number=&amp;sourceID=48","")</f>
        <v/>
      </c>
      <c r="H213" s="4" t="str">
        <f>HYPERLINK("http://141.218.60.56/~jnz1568/getInfo.php?workbook=16_14.xlsx&amp;sheet=A0&amp;row=213&amp;col=8&amp;number=&amp;sourceID=48","")</f>
        <v/>
      </c>
      <c r="I213" s="4" t="str">
        <f>HYPERLINK("http://141.218.60.56/~jnz1568/getInfo.php?workbook=16_14.xlsx&amp;sheet=A0&amp;row=213&amp;col=9&amp;number=&amp;sourceID=48","")</f>
        <v/>
      </c>
      <c r="J213" s="4" t="str">
        <f>HYPERLINK("http://141.218.60.56/~jnz1568/getInfo.php?workbook=16_14.xlsx&amp;sheet=A0&amp;row=213&amp;col=10&amp;number=&amp;sourceID=49","")</f>
        <v/>
      </c>
      <c r="K213" s="4" t="str">
        <f>HYPERLINK("http://141.218.60.56/~jnz1568/getInfo.php?workbook=16_14.xlsx&amp;sheet=A0&amp;row=213&amp;col=11&amp;number=&amp;sourceID=49","")</f>
        <v/>
      </c>
    </row>
    <row r="214" spans="1:11">
      <c r="A214" s="3">
        <v>16</v>
      </c>
      <c r="B214" s="3">
        <v>14</v>
      </c>
      <c r="C214" s="3">
        <v>37</v>
      </c>
      <c r="D214" s="3">
        <v>23</v>
      </c>
      <c r="E214" s="3">
        <f>((1/(INDEX(E0!J$4:J$47,C214,1)-INDEX(E0!J$4:J$47,D214,1))))*100000000</f>
        <v>0</v>
      </c>
      <c r="F214" s="4" t="str">
        <f>HYPERLINK("http://141.218.60.56/~jnz1568/getInfo.php?workbook=16_14.xlsx&amp;sheet=A0&amp;row=214&amp;col=6&amp;number=23143000&amp;sourceID=48","23143000")</f>
        <v>23143000</v>
      </c>
      <c r="G214" s="4" t="str">
        <f>HYPERLINK("http://141.218.60.56/~jnz1568/getInfo.php?workbook=16_14.xlsx&amp;sheet=A0&amp;row=214&amp;col=7&amp;number=&amp;sourceID=48","")</f>
        <v/>
      </c>
      <c r="H214" s="4" t="str">
        <f>HYPERLINK("http://141.218.60.56/~jnz1568/getInfo.php?workbook=16_14.xlsx&amp;sheet=A0&amp;row=214&amp;col=8&amp;number=&amp;sourceID=48","")</f>
        <v/>
      </c>
      <c r="I214" s="4" t="str">
        <f>HYPERLINK("http://141.218.60.56/~jnz1568/getInfo.php?workbook=16_14.xlsx&amp;sheet=A0&amp;row=214&amp;col=9&amp;number=&amp;sourceID=48","")</f>
        <v/>
      </c>
      <c r="J214" s="4" t="str">
        <f>HYPERLINK("http://141.218.60.56/~jnz1568/getInfo.php?workbook=16_14.xlsx&amp;sheet=A0&amp;row=214&amp;col=10&amp;number=&amp;sourceID=49","")</f>
        <v/>
      </c>
      <c r="K214" s="4" t="str">
        <f>HYPERLINK("http://141.218.60.56/~jnz1568/getInfo.php?workbook=16_14.xlsx&amp;sheet=A0&amp;row=214&amp;col=11&amp;number=&amp;sourceID=49","")</f>
        <v/>
      </c>
    </row>
    <row r="215" spans="1:11">
      <c r="A215" s="3">
        <v>16</v>
      </c>
      <c r="B215" s="3">
        <v>14</v>
      </c>
      <c r="C215" s="3">
        <v>37</v>
      </c>
      <c r="D215" s="3">
        <v>24</v>
      </c>
      <c r="E215" s="3">
        <f>((1/(INDEX(E0!J$4:J$47,C215,1)-INDEX(E0!J$4:J$47,D215,1))))*100000000</f>
        <v>0</v>
      </c>
      <c r="F215" s="4" t="str">
        <f>HYPERLINK("http://141.218.60.56/~jnz1568/getInfo.php?workbook=16_14.xlsx&amp;sheet=A0&amp;row=215&amp;col=6&amp;number=803900&amp;sourceID=48","803900")</f>
        <v>803900</v>
      </c>
      <c r="G215" s="4" t="str">
        <f>HYPERLINK("http://141.218.60.56/~jnz1568/getInfo.php?workbook=16_14.xlsx&amp;sheet=A0&amp;row=215&amp;col=7&amp;number=&amp;sourceID=48","")</f>
        <v/>
      </c>
      <c r="H215" s="4" t="str">
        <f>HYPERLINK("http://141.218.60.56/~jnz1568/getInfo.php?workbook=16_14.xlsx&amp;sheet=A0&amp;row=215&amp;col=8&amp;number=&amp;sourceID=48","")</f>
        <v/>
      </c>
      <c r="I215" s="4" t="str">
        <f>HYPERLINK("http://141.218.60.56/~jnz1568/getInfo.php?workbook=16_14.xlsx&amp;sheet=A0&amp;row=215&amp;col=9&amp;number=&amp;sourceID=48","")</f>
        <v/>
      </c>
      <c r="J215" s="4" t="str">
        <f>HYPERLINK("http://141.218.60.56/~jnz1568/getInfo.php?workbook=16_14.xlsx&amp;sheet=A0&amp;row=215&amp;col=10&amp;number=&amp;sourceID=49","")</f>
        <v/>
      </c>
      <c r="K215" s="4" t="str">
        <f>HYPERLINK("http://141.218.60.56/~jnz1568/getInfo.php?workbook=16_14.xlsx&amp;sheet=A0&amp;row=215&amp;col=11&amp;number=&amp;sourceID=49","")</f>
        <v/>
      </c>
    </row>
    <row r="216" spans="1:11">
      <c r="A216" s="3">
        <v>16</v>
      </c>
      <c r="B216" s="3">
        <v>14</v>
      </c>
      <c r="C216" s="3">
        <v>37</v>
      </c>
      <c r="D216" s="3">
        <v>25</v>
      </c>
      <c r="E216" s="3">
        <f>((1/(INDEX(E0!J$4:J$47,C216,1)-INDEX(E0!J$4:J$47,D216,1))))*100000000</f>
        <v>0</v>
      </c>
      <c r="F216" s="4" t="str">
        <f>HYPERLINK("http://141.218.60.56/~jnz1568/getInfo.php?workbook=16_14.xlsx&amp;sheet=A0&amp;row=216&amp;col=6&amp;number=8219200&amp;sourceID=48","8219200")</f>
        <v>8219200</v>
      </c>
      <c r="G216" s="4" t="str">
        <f>HYPERLINK("http://141.218.60.56/~jnz1568/getInfo.php?workbook=16_14.xlsx&amp;sheet=A0&amp;row=216&amp;col=7&amp;number=&amp;sourceID=48","")</f>
        <v/>
      </c>
      <c r="H216" s="4" t="str">
        <f>HYPERLINK("http://141.218.60.56/~jnz1568/getInfo.php?workbook=16_14.xlsx&amp;sheet=A0&amp;row=216&amp;col=8&amp;number=&amp;sourceID=48","")</f>
        <v/>
      </c>
      <c r="I216" s="4" t="str">
        <f>HYPERLINK("http://141.218.60.56/~jnz1568/getInfo.php?workbook=16_14.xlsx&amp;sheet=A0&amp;row=216&amp;col=9&amp;number=&amp;sourceID=48","")</f>
        <v/>
      </c>
      <c r="J216" s="4" t="str">
        <f>HYPERLINK("http://141.218.60.56/~jnz1568/getInfo.php?workbook=16_14.xlsx&amp;sheet=A0&amp;row=216&amp;col=10&amp;number=&amp;sourceID=49","")</f>
        <v/>
      </c>
      <c r="K216" s="4" t="str">
        <f>HYPERLINK("http://141.218.60.56/~jnz1568/getInfo.php?workbook=16_14.xlsx&amp;sheet=A0&amp;row=216&amp;col=11&amp;number=&amp;sourceID=49","")</f>
        <v/>
      </c>
    </row>
    <row r="217" spans="1:11">
      <c r="A217" s="3">
        <v>16</v>
      </c>
      <c r="B217" s="3">
        <v>14</v>
      </c>
      <c r="C217" s="3">
        <v>37</v>
      </c>
      <c r="D217" s="3">
        <v>26</v>
      </c>
      <c r="E217" s="3">
        <f>((1/(INDEX(E0!J$4:J$47,C217,1)-INDEX(E0!J$4:J$47,D217,1))))*100000000</f>
        <v>0</v>
      </c>
      <c r="F217" s="4" t="str">
        <f>HYPERLINK("http://141.218.60.56/~jnz1568/getInfo.php?workbook=16_14.xlsx&amp;sheet=A0&amp;row=217&amp;col=6&amp;number=31392000&amp;sourceID=48","31392000")</f>
        <v>31392000</v>
      </c>
      <c r="G217" s="4" t="str">
        <f>HYPERLINK("http://141.218.60.56/~jnz1568/getInfo.php?workbook=16_14.xlsx&amp;sheet=A0&amp;row=217&amp;col=7&amp;number=&amp;sourceID=48","")</f>
        <v/>
      </c>
      <c r="H217" s="4" t="str">
        <f>HYPERLINK("http://141.218.60.56/~jnz1568/getInfo.php?workbook=16_14.xlsx&amp;sheet=A0&amp;row=217&amp;col=8&amp;number=&amp;sourceID=48","")</f>
        <v/>
      </c>
      <c r="I217" s="4" t="str">
        <f>HYPERLINK("http://141.218.60.56/~jnz1568/getInfo.php?workbook=16_14.xlsx&amp;sheet=A0&amp;row=217&amp;col=9&amp;number=&amp;sourceID=48","")</f>
        <v/>
      </c>
      <c r="J217" s="4" t="str">
        <f>HYPERLINK("http://141.218.60.56/~jnz1568/getInfo.php?workbook=16_14.xlsx&amp;sheet=A0&amp;row=217&amp;col=10&amp;number=&amp;sourceID=49","")</f>
        <v/>
      </c>
      <c r="K217" s="4" t="str">
        <f>HYPERLINK("http://141.218.60.56/~jnz1568/getInfo.php?workbook=16_14.xlsx&amp;sheet=A0&amp;row=217&amp;col=11&amp;number=&amp;sourceID=49","")</f>
        <v/>
      </c>
    </row>
    <row r="218" spans="1:11">
      <c r="A218" s="3">
        <v>16</v>
      </c>
      <c r="B218" s="3">
        <v>14</v>
      </c>
      <c r="C218" s="3">
        <v>37</v>
      </c>
      <c r="D218" s="3">
        <v>28</v>
      </c>
      <c r="E218" s="3">
        <f>((1/(INDEX(E0!J$4:J$47,C218,1)-INDEX(E0!J$4:J$47,D218,1))))*100000000</f>
        <v>0</v>
      </c>
      <c r="F218" s="4" t="str">
        <f>HYPERLINK("http://141.218.60.56/~jnz1568/getInfo.php?workbook=16_14.xlsx&amp;sheet=A0&amp;row=218&amp;col=6&amp;number=4704000&amp;sourceID=48","4704000")</f>
        <v>4704000</v>
      </c>
      <c r="G218" s="4" t="str">
        <f>HYPERLINK("http://141.218.60.56/~jnz1568/getInfo.php?workbook=16_14.xlsx&amp;sheet=A0&amp;row=218&amp;col=7&amp;number=&amp;sourceID=48","")</f>
        <v/>
      </c>
      <c r="H218" s="4" t="str">
        <f>HYPERLINK("http://141.218.60.56/~jnz1568/getInfo.php?workbook=16_14.xlsx&amp;sheet=A0&amp;row=218&amp;col=8&amp;number=&amp;sourceID=48","")</f>
        <v/>
      </c>
      <c r="I218" s="4" t="str">
        <f>HYPERLINK("http://141.218.60.56/~jnz1568/getInfo.php?workbook=16_14.xlsx&amp;sheet=A0&amp;row=218&amp;col=9&amp;number=&amp;sourceID=48","")</f>
        <v/>
      </c>
      <c r="J218" s="4" t="str">
        <f>HYPERLINK("http://141.218.60.56/~jnz1568/getInfo.php?workbook=16_14.xlsx&amp;sheet=A0&amp;row=218&amp;col=10&amp;number=&amp;sourceID=49","")</f>
        <v/>
      </c>
      <c r="K218" s="4" t="str">
        <f>HYPERLINK("http://141.218.60.56/~jnz1568/getInfo.php?workbook=16_14.xlsx&amp;sheet=A0&amp;row=218&amp;col=11&amp;number=&amp;sourceID=49","")</f>
        <v/>
      </c>
    </row>
    <row r="219" spans="1:11">
      <c r="A219" s="3">
        <v>16</v>
      </c>
      <c r="B219" s="3">
        <v>14</v>
      </c>
      <c r="C219" s="3">
        <v>37</v>
      </c>
      <c r="D219" s="3">
        <v>29</v>
      </c>
      <c r="E219" s="3">
        <f>((1/(INDEX(E0!J$4:J$47,C219,1)-INDEX(E0!J$4:J$47,D219,1))))*100000000</f>
        <v>0</v>
      </c>
      <c r="F219" s="4" t="str">
        <f>HYPERLINK("http://141.218.60.56/~jnz1568/getInfo.php?workbook=16_14.xlsx&amp;sheet=A0&amp;row=219&amp;col=6&amp;number=60369&amp;sourceID=48","60369")</f>
        <v>60369</v>
      </c>
      <c r="G219" s="4" t="str">
        <f>HYPERLINK("http://141.218.60.56/~jnz1568/getInfo.php?workbook=16_14.xlsx&amp;sheet=A0&amp;row=219&amp;col=7&amp;number=&amp;sourceID=48","")</f>
        <v/>
      </c>
      <c r="H219" s="4" t="str">
        <f>HYPERLINK("http://141.218.60.56/~jnz1568/getInfo.php?workbook=16_14.xlsx&amp;sheet=A0&amp;row=219&amp;col=8&amp;number=&amp;sourceID=48","")</f>
        <v/>
      </c>
      <c r="I219" s="4" t="str">
        <f>HYPERLINK("http://141.218.60.56/~jnz1568/getInfo.php?workbook=16_14.xlsx&amp;sheet=A0&amp;row=219&amp;col=9&amp;number=&amp;sourceID=48","")</f>
        <v/>
      </c>
      <c r="J219" s="4" t="str">
        <f>HYPERLINK("http://141.218.60.56/~jnz1568/getInfo.php?workbook=16_14.xlsx&amp;sheet=A0&amp;row=219&amp;col=10&amp;number=&amp;sourceID=49","")</f>
        <v/>
      </c>
      <c r="K219" s="4" t="str">
        <f>HYPERLINK("http://141.218.60.56/~jnz1568/getInfo.php?workbook=16_14.xlsx&amp;sheet=A0&amp;row=219&amp;col=11&amp;number=&amp;sourceID=49","")</f>
        <v/>
      </c>
    </row>
    <row r="220" spans="1:11">
      <c r="A220" s="3">
        <v>16</v>
      </c>
      <c r="B220" s="3">
        <v>14</v>
      </c>
      <c r="C220" s="3">
        <v>37</v>
      </c>
      <c r="D220" s="3">
        <v>31</v>
      </c>
      <c r="E220" s="3">
        <f>((1/(INDEX(E0!J$4:J$47,C220,1)-INDEX(E0!J$4:J$47,D220,1))))*100000000</f>
        <v>0</v>
      </c>
      <c r="F220" s="4" t="str">
        <f>HYPERLINK("http://141.218.60.56/~jnz1568/getInfo.php?workbook=16_14.xlsx&amp;sheet=A0&amp;row=220&amp;col=6&amp;number=263.66&amp;sourceID=48","263.66")</f>
        <v>263.66</v>
      </c>
      <c r="G220" s="4" t="str">
        <f>HYPERLINK("http://141.218.60.56/~jnz1568/getInfo.php?workbook=16_14.xlsx&amp;sheet=A0&amp;row=220&amp;col=7&amp;number=&amp;sourceID=48","")</f>
        <v/>
      </c>
      <c r="H220" s="4" t="str">
        <f>HYPERLINK("http://141.218.60.56/~jnz1568/getInfo.php?workbook=16_14.xlsx&amp;sheet=A0&amp;row=220&amp;col=8&amp;number=&amp;sourceID=48","")</f>
        <v/>
      </c>
      <c r="I220" s="4" t="str">
        <f>HYPERLINK("http://141.218.60.56/~jnz1568/getInfo.php?workbook=16_14.xlsx&amp;sheet=A0&amp;row=220&amp;col=9&amp;number=&amp;sourceID=48","")</f>
        <v/>
      </c>
      <c r="J220" s="4" t="str">
        <f>HYPERLINK("http://141.218.60.56/~jnz1568/getInfo.php?workbook=16_14.xlsx&amp;sheet=A0&amp;row=220&amp;col=10&amp;number=&amp;sourceID=49","")</f>
        <v/>
      </c>
      <c r="K220" s="4" t="str">
        <f>HYPERLINK("http://141.218.60.56/~jnz1568/getInfo.php?workbook=16_14.xlsx&amp;sheet=A0&amp;row=220&amp;col=11&amp;number=&amp;sourceID=49","")</f>
        <v/>
      </c>
    </row>
    <row r="221" spans="1:11">
      <c r="A221" s="3">
        <v>16</v>
      </c>
      <c r="B221" s="3">
        <v>14</v>
      </c>
      <c r="C221" s="3">
        <v>38</v>
      </c>
      <c r="D221" s="3">
        <v>6</v>
      </c>
      <c r="E221" s="3">
        <f>((1/(INDEX(E0!J$4:J$47,C221,1)-INDEX(E0!J$4:J$47,D221,1))))*100000000</f>
        <v>0</v>
      </c>
      <c r="F221" s="4" t="str">
        <f>HYPERLINK("http://141.218.60.56/~jnz1568/getInfo.php?workbook=16_14.xlsx&amp;sheet=A0&amp;row=221&amp;col=6&amp;number=848.59&amp;sourceID=48","848.59")</f>
        <v>848.59</v>
      </c>
      <c r="G221" s="4" t="str">
        <f>HYPERLINK("http://141.218.60.56/~jnz1568/getInfo.php?workbook=16_14.xlsx&amp;sheet=A0&amp;row=221&amp;col=7&amp;number=&amp;sourceID=48","")</f>
        <v/>
      </c>
      <c r="H221" s="4" t="str">
        <f>HYPERLINK("http://141.218.60.56/~jnz1568/getInfo.php?workbook=16_14.xlsx&amp;sheet=A0&amp;row=221&amp;col=8&amp;number=&amp;sourceID=48","")</f>
        <v/>
      </c>
      <c r="I221" s="4" t="str">
        <f>HYPERLINK("http://141.218.60.56/~jnz1568/getInfo.php?workbook=16_14.xlsx&amp;sheet=A0&amp;row=221&amp;col=9&amp;number=&amp;sourceID=48","")</f>
        <v/>
      </c>
      <c r="J221" s="4" t="str">
        <f>HYPERLINK("http://141.218.60.56/~jnz1568/getInfo.php?workbook=16_14.xlsx&amp;sheet=A0&amp;row=221&amp;col=10&amp;number=&amp;sourceID=49","")</f>
        <v/>
      </c>
      <c r="K221" s="4" t="str">
        <f>HYPERLINK("http://141.218.60.56/~jnz1568/getInfo.php?workbook=16_14.xlsx&amp;sheet=A0&amp;row=221&amp;col=11&amp;number=&amp;sourceID=49","")</f>
        <v/>
      </c>
    </row>
    <row r="222" spans="1:11">
      <c r="A222" s="3">
        <v>16</v>
      </c>
      <c r="B222" s="3">
        <v>14</v>
      </c>
      <c r="C222" s="3">
        <v>38</v>
      </c>
      <c r="D222" s="3">
        <v>7</v>
      </c>
      <c r="E222" s="3">
        <f>((1/(INDEX(E0!J$4:J$47,C222,1)-INDEX(E0!J$4:J$47,D222,1))))*100000000</f>
        <v>0</v>
      </c>
      <c r="F222" s="4" t="str">
        <f>HYPERLINK("http://141.218.60.56/~jnz1568/getInfo.php?workbook=16_14.xlsx&amp;sheet=A0&amp;row=222&amp;col=6&amp;number=2217200&amp;sourceID=48","2217200")</f>
        <v>2217200</v>
      </c>
      <c r="G222" s="4" t="str">
        <f>HYPERLINK("http://141.218.60.56/~jnz1568/getInfo.php?workbook=16_14.xlsx&amp;sheet=A0&amp;row=222&amp;col=7&amp;number=&amp;sourceID=48","")</f>
        <v/>
      </c>
      <c r="H222" s="4" t="str">
        <f>HYPERLINK("http://141.218.60.56/~jnz1568/getInfo.php?workbook=16_14.xlsx&amp;sheet=A0&amp;row=222&amp;col=8&amp;number=&amp;sourceID=48","")</f>
        <v/>
      </c>
      <c r="I222" s="4" t="str">
        <f>HYPERLINK("http://141.218.60.56/~jnz1568/getInfo.php?workbook=16_14.xlsx&amp;sheet=A0&amp;row=222&amp;col=9&amp;number=&amp;sourceID=48","")</f>
        <v/>
      </c>
      <c r="J222" s="4" t="str">
        <f>HYPERLINK("http://141.218.60.56/~jnz1568/getInfo.php?workbook=16_14.xlsx&amp;sheet=A0&amp;row=222&amp;col=10&amp;number=&amp;sourceID=49","")</f>
        <v/>
      </c>
      <c r="K222" s="4" t="str">
        <f>HYPERLINK("http://141.218.60.56/~jnz1568/getInfo.php?workbook=16_14.xlsx&amp;sheet=A0&amp;row=222&amp;col=11&amp;number=&amp;sourceID=49","")</f>
        <v/>
      </c>
    </row>
    <row r="223" spans="1:11">
      <c r="A223" s="3">
        <v>16</v>
      </c>
      <c r="B223" s="3">
        <v>14</v>
      </c>
      <c r="C223" s="3">
        <v>38</v>
      </c>
      <c r="D223" s="3">
        <v>8</v>
      </c>
      <c r="E223" s="3">
        <f>((1/(INDEX(E0!J$4:J$47,C223,1)-INDEX(E0!J$4:J$47,D223,1))))*100000000</f>
        <v>0</v>
      </c>
      <c r="F223" s="4" t="str">
        <f>HYPERLINK("http://141.218.60.56/~jnz1568/getInfo.php?workbook=16_14.xlsx&amp;sheet=A0&amp;row=223&amp;col=6&amp;number=30749000&amp;sourceID=48","30749000")</f>
        <v>30749000</v>
      </c>
      <c r="G223" s="4" t="str">
        <f>HYPERLINK("http://141.218.60.56/~jnz1568/getInfo.php?workbook=16_14.xlsx&amp;sheet=A0&amp;row=223&amp;col=7&amp;number=&amp;sourceID=48","")</f>
        <v/>
      </c>
      <c r="H223" s="4" t="str">
        <f>HYPERLINK("http://141.218.60.56/~jnz1568/getInfo.php?workbook=16_14.xlsx&amp;sheet=A0&amp;row=223&amp;col=8&amp;number=&amp;sourceID=48","")</f>
        <v/>
      </c>
      <c r="I223" s="4" t="str">
        <f>HYPERLINK("http://141.218.60.56/~jnz1568/getInfo.php?workbook=16_14.xlsx&amp;sheet=A0&amp;row=223&amp;col=9&amp;number=&amp;sourceID=48","")</f>
        <v/>
      </c>
      <c r="J223" s="4" t="str">
        <f>HYPERLINK("http://141.218.60.56/~jnz1568/getInfo.php?workbook=16_14.xlsx&amp;sheet=A0&amp;row=223&amp;col=10&amp;number=&amp;sourceID=49","")</f>
        <v/>
      </c>
      <c r="K223" s="4" t="str">
        <f>HYPERLINK("http://141.218.60.56/~jnz1568/getInfo.php?workbook=16_14.xlsx&amp;sheet=A0&amp;row=223&amp;col=11&amp;number=&amp;sourceID=49","")</f>
        <v/>
      </c>
    </row>
    <row r="224" spans="1:11">
      <c r="A224" s="3">
        <v>16</v>
      </c>
      <c r="B224" s="3">
        <v>14</v>
      </c>
      <c r="C224" s="3">
        <v>38</v>
      </c>
      <c r="D224" s="3">
        <v>9</v>
      </c>
      <c r="E224" s="3">
        <f>((1/(INDEX(E0!J$4:J$47,C224,1)-INDEX(E0!J$4:J$47,D224,1))))*100000000</f>
        <v>0</v>
      </c>
      <c r="F224" s="4" t="str">
        <f>HYPERLINK("http://141.218.60.56/~jnz1568/getInfo.php?workbook=16_14.xlsx&amp;sheet=A0&amp;row=224&amp;col=6&amp;number=150010000&amp;sourceID=48","150010000")</f>
        <v>150010000</v>
      </c>
      <c r="G224" s="4" t="str">
        <f>HYPERLINK("http://141.218.60.56/~jnz1568/getInfo.php?workbook=16_14.xlsx&amp;sheet=A0&amp;row=224&amp;col=7&amp;number=&amp;sourceID=48","")</f>
        <v/>
      </c>
      <c r="H224" s="4" t="str">
        <f>HYPERLINK("http://141.218.60.56/~jnz1568/getInfo.php?workbook=16_14.xlsx&amp;sheet=A0&amp;row=224&amp;col=8&amp;number=&amp;sourceID=48","")</f>
        <v/>
      </c>
      <c r="I224" s="4" t="str">
        <f>HYPERLINK("http://141.218.60.56/~jnz1568/getInfo.php?workbook=16_14.xlsx&amp;sheet=A0&amp;row=224&amp;col=9&amp;number=&amp;sourceID=48","")</f>
        <v/>
      </c>
      <c r="J224" s="4" t="str">
        <f>HYPERLINK("http://141.218.60.56/~jnz1568/getInfo.php?workbook=16_14.xlsx&amp;sheet=A0&amp;row=224&amp;col=10&amp;number=&amp;sourceID=49","")</f>
        <v/>
      </c>
      <c r="K224" s="4" t="str">
        <f>HYPERLINK("http://141.218.60.56/~jnz1568/getInfo.php?workbook=16_14.xlsx&amp;sheet=A0&amp;row=224&amp;col=11&amp;number=&amp;sourceID=49","")</f>
        <v/>
      </c>
    </row>
    <row r="225" spans="1:11">
      <c r="A225" s="3">
        <v>16</v>
      </c>
      <c r="B225" s="3">
        <v>14</v>
      </c>
      <c r="C225" s="3">
        <v>38</v>
      </c>
      <c r="D225" s="3">
        <v>10</v>
      </c>
      <c r="E225" s="3">
        <f>((1/(INDEX(E0!J$4:J$47,C225,1)-INDEX(E0!J$4:J$47,D225,1))))*100000000</f>
        <v>0</v>
      </c>
      <c r="F225" s="4" t="str">
        <f>HYPERLINK("http://141.218.60.56/~jnz1568/getInfo.php?workbook=16_14.xlsx&amp;sheet=A0&amp;row=225&amp;col=6&amp;number=23274000&amp;sourceID=48","23274000")</f>
        <v>23274000</v>
      </c>
      <c r="G225" s="4" t="str">
        <f>HYPERLINK("http://141.218.60.56/~jnz1568/getInfo.php?workbook=16_14.xlsx&amp;sheet=A0&amp;row=225&amp;col=7&amp;number=&amp;sourceID=48","")</f>
        <v/>
      </c>
      <c r="H225" s="4" t="str">
        <f>HYPERLINK("http://141.218.60.56/~jnz1568/getInfo.php?workbook=16_14.xlsx&amp;sheet=A0&amp;row=225&amp;col=8&amp;number=&amp;sourceID=48","")</f>
        <v/>
      </c>
      <c r="I225" s="4" t="str">
        <f>HYPERLINK("http://141.218.60.56/~jnz1568/getInfo.php?workbook=16_14.xlsx&amp;sheet=A0&amp;row=225&amp;col=9&amp;number=&amp;sourceID=48","")</f>
        <v/>
      </c>
      <c r="J225" s="4" t="str">
        <f>HYPERLINK("http://141.218.60.56/~jnz1568/getInfo.php?workbook=16_14.xlsx&amp;sheet=A0&amp;row=225&amp;col=10&amp;number=&amp;sourceID=49","")</f>
        <v/>
      </c>
      <c r="K225" s="4" t="str">
        <f>HYPERLINK("http://141.218.60.56/~jnz1568/getInfo.php?workbook=16_14.xlsx&amp;sheet=A0&amp;row=225&amp;col=11&amp;number=&amp;sourceID=49","")</f>
        <v/>
      </c>
    </row>
    <row r="226" spans="1:11">
      <c r="A226" s="3">
        <v>16</v>
      </c>
      <c r="B226" s="3">
        <v>14</v>
      </c>
      <c r="C226" s="3">
        <v>38</v>
      </c>
      <c r="D226" s="3">
        <v>11</v>
      </c>
      <c r="E226" s="3">
        <f>((1/(INDEX(E0!J$4:J$47,C226,1)-INDEX(E0!J$4:J$47,D226,1))))*100000000</f>
        <v>0</v>
      </c>
      <c r="F226" s="4" t="str">
        <f>HYPERLINK("http://141.218.60.56/~jnz1568/getInfo.php?workbook=16_14.xlsx&amp;sheet=A0&amp;row=226&amp;col=6&amp;number=8738500&amp;sourceID=48","8738500")</f>
        <v>8738500</v>
      </c>
      <c r="G226" s="4" t="str">
        <f>HYPERLINK("http://141.218.60.56/~jnz1568/getInfo.php?workbook=16_14.xlsx&amp;sheet=A0&amp;row=226&amp;col=7&amp;number=&amp;sourceID=48","")</f>
        <v/>
      </c>
      <c r="H226" s="4" t="str">
        <f>HYPERLINK("http://141.218.60.56/~jnz1568/getInfo.php?workbook=16_14.xlsx&amp;sheet=A0&amp;row=226&amp;col=8&amp;number=&amp;sourceID=48","")</f>
        <v/>
      </c>
      <c r="I226" s="4" t="str">
        <f>HYPERLINK("http://141.218.60.56/~jnz1568/getInfo.php?workbook=16_14.xlsx&amp;sheet=A0&amp;row=226&amp;col=9&amp;number=&amp;sourceID=48","")</f>
        <v/>
      </c>
      <c r="J226" s="4" t="str">
        <f>HYPERLINK("http://141.218.60.56/~jnz1568/getInfo.php?workbook=16_14.xlsx&amp;sheet=A0&amp;row=226&amp;col=10&amp;number=&amp;sourceID=49","")</f>
        <v/>
      </c>
      <c r="K226" s="4" t="str">
        <f>HYPERLINK("http://141.218.60.56/~jnz1568/getInfo.php?workbook=16_14.xlsx&amp;sheet=A0&amp;row=226&amp;col=11&amp;number=&amp;sourceID=49","")</f>
        <v/>
      </c>
    </row>
    <row r="227" spans="1:11">
      <c r="A227" s="3">
        <v>16</v>
      </c>
      <c r="B227" s="3">
        <v>14</v>
      </c>
      <c r="C227" s="3">
        <v>38</v>
      </c>
      <c r="D227" s="3">
        <v>13</v>
      </c>
      <c r="E227" s="3">
        <f>((1/(INDEX(E0!J$4:J$47,C227,1)-INDEX(E0!J$4:J$47,D227,1))))*100000000</f>
        <v>0</v>
      </c>
      <c r="F227" s="4" t="str">
        <f>HYPERLINK("http://141.218.60.56/~jnz1568/getInfo.php?workbook=16_14.xlsx&amp;sheet=A0&amp;row=227&amp;col=6&amp;number=103990&amp;sourceID=48","103990")</f>
        <v>103990</v>
      </c>
      <c r="G227" s="4" t="str">
        <f>HYPERLINK("http://141.218.60.56/~jnz1568/getInfo.php?workbook=16_14.xlsx&amp;sheet=A0&amp;row=227&amp;col=7&amp;number=&amp;sourceID=48","")</f>
        <v/>
      </c>
      <c r="H227" s="4" t="str">
        <f>HYPERLINK("http://141.218.60.56/~jnz1568/getInfo.php?workbook=16_14.xlsx&amp;sheet=A0&amp;row=227&amp;col=8&amp;number=&amp;sourceID=48","")</f>
        <v/>
      </c>
      <c r="I227" s="4" t="str">
        <f>HYPERLINK("http://141.218.60.56/~jnz1568/getInfo.php?workbook=16_14.xlsx&amp;sheet=A0&amp;row=227&amp;col=9&amp;number=&amp;sourceID=48","")</f>
        <v/>
      </c>
      <c r="J227" s="4" t="str">
        <f>HYPERLINK("http://141.218.60.56/~jnz1568/getInfo.php?workbook=16_14.xlsx&amp;sheet=A0&amp;row=227&amp;col=10&amp;number=&amp;sourceID=49","")</f>
        <v/>
      </c>
      <c r="K227" s="4" t="str">
        <f>HYPERLINK("http://141.218.60.56/~jnz1568/getInfo.php?workbook=16_14.xlsx&amp;sheet=A0&amp;row=227&amp;col=11&amp;number=&amp;sourceID=49","")</f>
        <v/>
      </c>
    </row>
    <row r="228" spans="1:11">
      <c r="A228" s="3">
        <v>16</v>
      </c>
      <c r="B228" s="3">
        <v>14</v>
      </c>
      <c r="C228" s="3">
        <v>38</v>
      </c>
      <c r="D228" s="3">
        <v>14</v>
      </c>
      <c r="E228" s="3">
        <f>((1/(INDEX(E0!J$4:J$47,C228,1)-INDEX(E0!J$4:J$47,D228,1))))*100000000</f>
        <v>0</v>
      </c>
      <c r="F228" s="4" t="str">
        <f>HYPERLINK("http://141.218.60.56/~jnz1568/getInfo.php?workbook=16_14.xlsx&amp;sheet=A0&amp;row=228&amp;col=6&amp;number=168990&amp;sourceID=48","168990")</f>
        <v>168990</v>
      </c>
      <c r="G228" s="4" t="str">
        <f>HYPERLINK("http://141.218.60.56/~jnz1568/getInfo.php?workbook=16_14.xlsx&amp;sheet=A0&amp;row=228&amp;col=7&amp;number=&amp;sourceID=48","")</f>
        <v/>
      </c>
      <c r="H228" s="4" t="str">
        <f>HYPERLINK("http://141.218.60.56/~jnz1568/getInfo.php?workbook=16_14.xlsx&amp;sheet=A0&amp;row=228&amp;col=8&amp;number=&amp;sourceID=48","")</f>
        <v/>
      </c>
      <c r="I228" s="4" t="str">
        <f>HYPERLINK("http://141.218.60.56/~jnz1568/getInfo.php?workbook=16_14.xlsx&amp;sheet=A0&amp;row=228&amp;col=9&amp;number=&amp;sourceID=48","")</f>
        <v/>
      </c>
      <c r="J228" s="4" t="str">
        <f>HYPERLINK("http://141.218.60.56/~jnz1568/getInfo.php?workbook=16_14.xlsx&amp;sheet=A0&amp;row=228&amp;col=10&amp;number=&amp;sourceID=49","")</f>
        <v/>
      </c>
      <c r="K228" s="4" t="str">
        <f>HYPERLINK("http://141.218.60.56/~jnz1568/getInfo.php?workbook=16_14.xlsx&amp;sheet=A0&amp;row=228&amp;col=11&amp;number=&amp;sourceID=49","")</f>
        <v/>
      </c>
    </row>
    <row r="229" spans="1:11">
      <c r="A229" s="3">
        <v>16</v>
      </c>
      <c r="B229" s="3">
        <v>14</v>
      </c>
      <c r="C229" s="3">
        <v>38</v>
      </c>
      <c r="D229" s="3">
        <v>15</v>
      </c>
      <c r="E229" s="3">
        <f>((1/(INDEX(E0!J$4:J$47,C229,1)-INDEX(E0!J$4:J$47,D229,1))))*100000000</f>
        <v>0</v>
      </c>
      <c r="F229" s="4" t="str">
        <f>HYPERLINK("http://141.218.60.56/~jnz1568/getInfo.php?workbook=16_14.xlsx&amp;sheet=A0&amp;row=229&amp;col=6&amp;number=1317200&amp;sourceID=48","1317200")</f>
        <v>1317200</v>
      </c>
      <c r="G229" s="4" t="str">
        <f>HYPERLINK("http://141.218.60.56/~jnz1568/getInfo.php?workbook=16_14.xlsx&amp;sheet=A0&amp;row=229&amp;col=7&amp;number=&amp;sourceID=48","")</f>
        <v/>
      </c>
      <c r="H229" s="4" t="str">
        <f>HYPERLINK("http://141.218.60.56/~jnz1568/getInfo.php?workbook=16_14.xlsx&amp;sheet=A0&amp;row=229&amp;col=8&amp;number=&amp;sourceID=48","")</f>
        <v/>
      </c>
      <c r="I229" s="4" t="str">
        <f>HYPERLINK("http://141.218.60.56/~jnz1568/getInfo.php?workbook=16_14.xlsx&amp;sheet=A0&amp;row=229&amp;col=9&amp;number=&amp;sourceID=48","")</f>
        <v/>
      </c>
      <c r="J229" s="4" t="str">
        <f>HYPERLINK("http://141.218.60.56/~jnz1568/getInfo.php?workbook=16_14.xlsx&amp;sheet=A0&amp;row=229&amp;col=10&amp;number=&amp;sourceID=49","")</f>
        <v/>
      </c>
      <c r="K229" s="4" t="str">
        <f>HYPERLINK("http://141.218.60.56/~jnz1568/getInfo.php?workbook=16_14.xlsx&amp;sheet=A0&amp;row=229&amp;col=11&amp;number=&amp;sourceID=49","")</f>
        <v/>
      </c>
    </row>
    <row r="230" spans="1:11">
      <c r="A230" s="3">
        <v>16</v>
      </c>
      <c r="B230" s="3">
        <v>14</v>
      </c>
      <c r="C230" s="3">
        <v>38</v>
      </c>
      <c r="D230" s="3">
        <v>17</v>
      </c>
      <c r="E230" s="3">
        <f>((1/(INDEX(E0!J$4:J$47,C230,1)-INDEX(E0!J$4:J$47,D230,1))))*100000000</f>
        <v>0</v>
      </c>
      <c r="F230" s="4" t="str">
        <f>HYPERLINK("http://141.218.60.56/~jnz1568/getInfo.php?workbook=16_14.xlsx&amp;sheet=A0&amp;row=230&amp;col=6&amp;number=118060&amp;sourceID=48","118060")</f>
        <v>118060</v>
      </c>
      <c r="G230" s="4" t="str">
        <f>HYPERLINK("http://141.218.60.56/~jnz1568/getInfo.php?workbook=16_14.xlsx&amp;sheet=A0&amp;row=230&amp;col=7&amp;number=&amp;sourceID=48","")</f>
        <v/>
      </c>
      <c r="H230" s="4" t="str">
        <f>HYPERLINK("http://141.218.60.56/~jnz1568/getInfo.php?workbook=16_14.xlsx&amp;sheet=A0&amp;row=230&amp;col=8&amp;number=&amp;sourceID=48","")</f>
        <v/>
      </c>
      <c r="I230" s="4" t="str">
        <f>HYPERLINK("http://141.218.60.56/~jnz1568/getInfo.php?workbook=16_14.xlsx&amp;sheet=A0&amp;row=230&amp;col=9&amp;number=&amp;sourceID=48","")</f>
        <v/>
      </c>
      <c r="J230" s="4" t="str">
        <f>HYPERLINK("http://141.218.60.56/~jnz1568/getInfo.php?workbook=16_14.xlsx&amp;sheet=A0&amp;row=230&amp;col=10&amp;number=&amp;sourceID=49","")</f>
        <v/>
      </c>
      <c r="K230" s="4" t="str">
        <f>HYPERLINK("http://141.218.60.56/~jnz1568/getInfo.php?workbook=16_14.xlsx&amp;sheet=A0&amp;row=230&amp;col=11&amp;number=&amp;sourceID=49","")</f>
        <v/>
      </c>
    </row>
    <row r="231" spans="1:11">
      <c r="A231" s="3">
        <v>16</v>
      </c>
      <c r="B231" s="3">
        <v>14</v>
      </c>
      <c r="C231" s="3">
        <v>38</v>
      </c>
      <c r="D231" s="3">
        <v>18</v>
      </c>
      <c r="E231" s="3">
        <f>((1/(INDEX(E0!J$4:J$47,C231,1)-INDEX(E0!J$4:J$47,D231,1))))*100000000</f>
        <v>0</v>
      </c>
      <c r="F231" s="4" t="str">
        <f>HYPERLINK("http://141.218.60.56/~jnz1568/getInfo.php?workbook=16_14.xlsx&amp;sheet=A0&amp;row=231&amp;col=6&amp;number=23691&amp;sourceID=48","23691")</f>
        <v>23691</v>
      </c>
      <c r="G231" s="4" t="str">
        <f>HYPERLINK("http://141.218.60.56/~jnz1568/getInfo.php?workbook=16_14.xlsx&amp;sheet=A0&amp;row=231&amp;col=7&amp;number=&amp;sourceID=48","")</f>
        <v/>
      </c>
      <c r="H231" s="4" t="str">
        <f>HYPERLINK("http://141.218.60.56/~jnz1568/getInfo.php?workbook=16_14.xlsx&amp;sheet=A0&amp;row=231&amp;col=8&amp;number=&amp;sourceID=48","")</f>
        <v/>
      </c>
      <c r="I231" s="4" t="str">
        <f>HYPERLINK("http://141.218.60.56/~jnz1568/getInfo.php?workbook=16_14.xlsx&amp;sheet=A0&amp;row=231&amp;col=9&amp;number=&amp;sourceID=48","")</f>
        <v/>
      </c>
      <c r="J231" s="4" t="str">
        <f>HYPERLINK("http://141.218.60.56/~jnz1568/getInfo.php?workbook=16_14.xlsx&amp;sheet=A0&amp;row=231&amp;col=10&amp;number=&amp;sourceID=49","")</f>
        <v/>
      </c>
      <c r="K231" s="4" t="str">
        <f>HYPERLINK("http://141.218.60.56/~jnz1568/getInfo.php?workbook=16_14.xlsx&amp;sheet=A0&amp;row=231&amp;col=11&amp;number=&amp;sourceID=49","")</f>
        <v/>
      </c>
    </row>
    <row r="232" spans="1:11">
      <c r="A232" s="3">
        <v>16</v>
      </c>
      <c r="B232" s="3">
        <v>14</v>
      </c>
      <c r="C232" s="3">
        <v>38</v>
      </c>
      <c r="D232" s="3">
        <v>20</v>
      </c>
      <c r="E232" s="3">
        <f>((1/(INDEX(E0!J$4:J$47,C232,1)-INDEX(E0!J$4:J$47,D232,1))))*100000000</f>
        <v>0</v>
      </c>
      <c r="F232" s="4" t="str">
        <f>HYPERLINK("http://141.218.60.56/~jnz1568/getInfo.php?workbook=16_14.xlsx&amp;sheet=A0&amp;row=232&amp;col=6&amp;number=39664000&amp;sourceID=48","39664000")</f>
        <v>39664000</v>
      </c>
      <c r="G232" s="4" t="str">
        <f>HYPERLINK("http://141.218.60.56/~jnz1568/getInfo.php?workbook=16_14.xlsx&amp;sheet=A0&amp;row=232&amp;col=7&amp;number=&amp;sourceID=48","")</f>
        <v/>
      </c>
      <c r="H232" s="4" t="str">
        <f>HYPERLINK("http://141.218.60.56/~jnz1568/getInfo.php?workbook=16_14.xlsx&amp;sheet=A0&amp;row=232&amp;col=8&amp;number=&amp;sourceID=48","")</f>
        <v/>
      </c>
      <c r="I232" s="4" t="str">
        <f>HYPERLINK("http://141.218.60.56/~jnz1568/getInfo.php?workbook=16_14.xlsx&amp;sheet=A0&amp;row=232&amp;col=9&amp;number=&amp;sourceID=48","")</f>
        <v/>
      </c>
      <c r="J232" s="4" t="str">
        <f>HYPERLINK("http://141.218.60.56/~jnz1568/getInfo.php?workbook=16_14.xlsx&amp;sheet=A0&amp;row=232&amp;col=10&amp;number=&amp;sourceID=49","")</f>
        <v/>
      </c>
      <c r="K232" s="4" t="str">
        <f>HYPERLINK("http://141.218.60.56/~jnz1568/getInfo.php?workbook=16_14.xlsx&amp;sheet=A0&amp;row=232&amp;col=11&amp;number=&amp;sourceID=49","")</f>
        <v/>
      </c>
    </row>
    <row r="233" spans="1:11">
      <c r="A233" s="3">
        <v>16</v>
      </c>
      <c r="B233" s="3">
        <v>14</v>
      </c>
      <c r="C233" s="3">
        <v>38</v>
      </c>
      <c r="D233" s="3">
        <v>21</v>
      </c>
      <c r="E233" s="3">
        <f>((1/(INDEX(E0!J$4:J$47,C233,1)-INDEX(E0!J$4:J$47,D233,1))))*100000000</f>
        <v>0</v>
      </c>
      <c r="F233" s="4" t="str">
        <f>HYPERLINK("http://141.218.60.56/~jnz1568/getInfo.php?workbook=16_14.xlsx&amp;sheet=A0&amp;row=233&amp;col=6&amp;number=130610000&amp;sourceID=48","130610000")</f>
        <v>130610000</v>
      </c>
      <c r="G233" s="4" t="str">
        <f>HYPERLINK("http://141.218.60.56/~jnz1568/getInfo.php?workbook=16_14.xlsx&amp;sheet=A0&amp;row=233&amp;col=7&amp;number=&amp;sourceID=48","")</f>
        <v/>
      </c>
      <c r="H233" s="4" t="str">
        <f>HYPERLINK("http://141.218.60.56/~jnz1568/getInfo.php?workbook=16_14.xlsx&amp;sheet=A0&amp;row=233&amp;col=8&amp;number=&amp;sourceID=48","")</f>
        <v/>
      </c>
      <c r="I233" s="4" t="str">
        <f>HYPERLINK("http://141.218.60.56/~jnz1568/getInfo.php?workbook=16_14.xlsx&amp;sheet=A0&amp;row=233&amp;col=9&amp;number=&amp;sourceID=48","")</f>
        <v/>
      </c>
      <c r="J233" s="4" t="str">
        <f>HYPERLINK("http://141.218.60.56/~jnz1568/getInfo.php?workbook=16_14.xlsx&amp;sheet=A0&amp;row=233&amp;col=10&amp;number=&amp;sourceID=49","")</f>
        <v/>
      </c>
      <c r="K233" s="4" t="str">
        <f>HYPERLINK("http://141.218.60.56/~jnz1568/getInfo.php?workbook=16_14.xlsx&amp;sheet=A0&amp;row=233&amp;col=11&amp;number=&amp;sourceID=49","")</f>
        <v/>
      </c>
    </row>
    <row r="234" spans="1:11">
      <c r="A234" s="3">
        <v>16</v>
      </c>
      <c r="B234" s="3">
        <v>14</v>
      </c>
      <c r="C234" s="3">
        <v>38</v>
      </c>
      <c r="D234" s="3">
        <v>23</v>
      </c>
      <c r="E234" s="3">
        <f>((1/(INDEX(E0!J$4:J$47,C234,1)-INDEX(E0!J$4:J$47,D234,1))))*100000000</f>
        <v>0</v>
      </c>
      <c r="F234" s="4" t="str">
        <f>HYPERLINK("http://141.218.60.56/~jnz1568/getInfo.php?workbook=16_14.xlsx&amp;sheet=A0&amp;row=234&amp;col=6&amp;number=5975600&amp;sourceID=48","5975600")</f>
        <v>5975600</v>
      </c>
      <c r="G234" s="4" t="str">
        <f>HYPERLINK("http://141.218.60.56/~jnz1568/getInfo.php?workbook=16_14.xlsx&amp;sheet=A0&amp;row=234&amp;col=7&amp;number=&amp;sourceID=48","")</f>
        <v/>
      </c>
      <c r="H234" s="4" t="str">
        <f>HYPERLINK("http://141.218.60.56/~jnz1568/getInfo.php?workbook=16_14.xlsx&amp;sheet=A0&amp;row=234&amp;col=8&amp;number=&amp;sourceID=48","")</f>
        <v/>
      </c>
      <c r="I234" s="4" t="str">
        <f>HYPERLINK("http://141.218.60.56/~jnz1568/getInfo.php?workbook=16_14.xlsx&amp;sheet=A0&amp;row=234&amp;col=9&amp;number=&amp;sourceID=48","")</f>
        <v/>
      </c>
      <c r="J234" s="4" t="str">
        <f>HYPERLINK("http://141.218.60.56/~jnz1568/getInfo.php?workbook=16_14.xlsx&amp;sheet=A0&amp;row=234&amp;col=10&amp;number=&amp;sourceID=49","")</f>
        <v/>
      </c>
      <c r="K234" s="4" t="str">
        <f>HYPERLINK("http://141.218.60.56/~jnz1568/getInfo.php?workbook=16_14.xlsx&amp;sheet=A0&amp;row=234&amp;col=11&amp;number=&amp;sourceID=49","")</f>
        <v/>
      </c>
    </row>
    <row r="235" spans="1:11">
      <c r="A235" s="3">
        <v>16</v>
      </c>
      <c r="B235" s="3">
        <v>14</v>
      </c>
      <c r="C235" s="3">
        <v>38</v>
      </c>
      <c r="D235" s="3">
        <v>24</v>
      </c>
      <c r="E235" s="3">
        <f>((1/(INDEX(E0!J$4:J$47,C235,1)-INDEX(E0!J$4:J$47,D235,1))))*100000000</f>
        <v>0</v>
      </c>
      <c r="F235" s="4" t="str">
        <f>HYPERLINK("http://141.218.60.56/~jnz1568/getInfo.php?workbook=16_14.xlsx&amp;sheet=A0&amp;row=235&amp;col=6&amp;number=43917000&amp;sourceID=48","43917000")</f>
        <v>43917000</v>
      </c>
      <c r="G235" s="4" t="str">
        <f>HYPERLINK("http://141.218.60.56/~jnz1568/getInfo.php?workbook=16_14.xlsx&amp;sheet=A0&amp;row=235&amp;col=7&amp;number=&amp;sourceID=48","")</f>
        <v/>
      </c>
      <c r="H235" s="4" t="str">
        <f>HYPERLINK("http://141.218.60.56/~jnz1568/getInfo.php?workbook=16_14.xlsx&amp;sheet=A0&amp;row=235&amp;col=8&amp;number=&amp;sourceID=48","")</f>
        <v/>
      </c>
      <c r="I235" s="4" t="str">
        <f>HYPERLINK("http://141.218.60.56/~jnz1568/getInfo.php?workbook=16_14.xlsx&amp;sheet=A0&amp;row=235&amp;col=9&amp;number=&amp;sourceID=48","")</f>
        <v/>
      </c>
      <c r="J235" s="4" t="str">
        <f>HYPERLINK("http://141.218.60.56/~jnz1568/getInfo.php?workbook=16_14.xlsx&amp;sheet=A0&amp;row=235&amp;col=10&amp;number=&amp;sourceID=49","")</f>
        <v/>
      </c>
      <c r="K235" s="4" t="str">
        <f>HYPERLINK("http://141.218.60.56/~jnz1568/getInfo.php?workbook=16_14.xlsx&amp;sheet=A0&amp;row=235&amp;col=11&amp;number=&amp;sourceID=49","")</f>
        <v/>
      </c>
    </row>
    <row r="236" spans="1:11">
      <c r="A236" s="3">
        <v>16</v>
      </c>
      <c r="B236" s="3">
        <v>14</v>
      </c>
      <c r="C236" s="3">
        <v>38</v>
      </c>
      <c r="D236" s="3">
        <v>25</v>
      </c>
      <c r="E236" s="3">
        <f>((1/(INDEX(E0!J$4:J$47,C236,1)-INDEX(E0!J$4:J$47,D236,1))))*100000000</f>
        <v>0</v>
      </c>
      <c r="F236" s="4" t="str">
        <f>HYPERLINK("http://141.218.60.56/~jnz1568/getInfo.php?workbook=16_14.xlsx&amp;sheet=A0&amp;row=236&amp;col=6&amp;number=345780&amp;sourceID=48","345780")</f>
        <v>345780</v>
      </c>
      <c r="G236" s="4" t="str">
        <f>HYPERLINK("http://141.218.60.56/~jnz1568/getInfo.php?workbook=16_14.xlsx&amp;sheet=A0&amp;row=236&amp;col=7&amp;number=&amp;sourceID=48","")</f>
        <v/>
      </c>
      <c r="H236" s="4" t="str">
        <f>HYPERLINK("http://141.218.60.56/~jnz1568/getInfo.php?workbook=16_14.xlsx&amp;sheet=A0&amp;row=236&amp;col=8&amp;number=&amp;sourceID=48","")</f>
        <v/>
      </c>
      <c r="I236" s="4" t="str">
        <f>HYPERLINK("http://141.218.60.56/~jnz1568/getInfo.php?workbook=16_14.xlsx&amp;sheet=A0&amp;row=236&amp;col=9&amp;number=&amp;sourceID=48","")</f>
        <v/>
      </c>
      <c r="J236" s="4" t="str">
        <f>HYPERLINK("http://141.218.60.56/~jnz1568/getInfo.php?workbook=16_14.xlsx&amp;sheet=A0&amp;row=236&amp;col=10&amp;number=&amp;sourceID=49","")</f>
        <v/>
      </c>
      <c r="K236" s="4" t="str">
        <f>HYPERLINK("http://141.218.60.56/~jnz1568/getInfo.php?workbook=16_14.xlsx&amp;sheet=A0&amp;row=236&amp;col=11&amp;number=&amp;sourceID=49","")</f>
        <v/>
      </c>
    </row>
    <row r="237" spans="1:11">
      <c r="A237" s="3">
        <v>16</v>
      </c>
      <c r="B237" s="3">
        <v>14</v>
      </c>
      <c r="C237" s="3">
        <v>38</v>
      </c>
      <c r="D237" s="3">
        <v>26</v>
      </c>
      <c r="E237" s="3">
        <f>((1/(INDEX(E0!J$4:J$47,C237,1)-INDEX(E0!J$4:J$47,D237,1))))*100000000</f>
        <v>0</v>
      </c>
      <c r="F237" s="4" t="str">
        <f>HYPERLINK("http://141.218.60.56/~jnz1568/getInfo.php?workbook=16_14.xlsx&amp;sheet=A0&amp;row=237&amp;col=6&amp;number=4136600&amp;sourceID=48","4136600")</f>
        <v>4136600</v>
      </c>
      <c r="G237" s="4" t="str">
        <f>HYPERLINK("http://141.218.60.56/~jnz1568/getInfo.php?workbook=16_14.xlsx&amp;sheet=A0&amp;row=237&amp;col=7&amp;number=&amp;sourceID=48","")</f>
        <v/>
      </c>
      <c r="H237" s="4" t="str">
        <f>HYPERLINK("http://141.218.60.56/~jnz1568/getInfo.php?workbook=16_14.xlsx&amp;sheet=A0&amp;row=237&amp;col=8&amp;number=&amp;sourceID=48","")</f>
        <v/>
      </c>
      <c r="I237" s="4" t="str">
        <f>HYPERLINK("http://141.218.60.56/~jnz1568/getInfo.php?workbook=16_14.xlsx&amp;sheet=A0&amp;row=237&amp;col=9&amp;number=&amp;sourceID=48","")</f>
        <v/>
      </c>
      <c r="J237" s="4" t="str">
        <f>HYPERLINK("http://141.218.60.56/~jnz1568/getInfo.php?workbook=16_14.xlsx&amp;sheet=A0&amp;row=237&amp;col=10&amp;number=&amp;sourceID=49","")</f>
        <v/>
      </c>
      <c r="K237" s="4" t="str">
        <f>HYPERLINK("http://141.218.60.56/~jnz1568/getInfo.php?workbook=16_14.xlsx&amp;sheet=A0&amp;row=237&amp;col=11&amp;number=&amp;sourceID=49","")</f>
        <v/>
      </c>
    </row>
    <row r="238" spans="1:11">
      <c r="A238" s="3">
        <v>16</v>
      </c>
      <c r="B238" s="3">
        <v>14</v>
      </c>
      <c r="C238" s="3">
        <v>38</v>
      </c>
      <c r="D238" s="3">
        <v>27</v>
      </c>
      <c r="E238" s="3">
        <f>((1/(INDEX(E0!J$4:J$47,C238,1)-INDEX(E0!J$4:J$47,D238,1))))*100000000</f>
        <v>0</v>
      </c>
      <c r="F238" s="4" t="str">
        <f>HYPERLINK("http://141.218.60.56/~jnz1568/getInfo.php?workbook=16_14.xlsx&amp;sheet=A0&amp;row=238&amp;col=6&amp;number=38024000&amp;sourceID=48","38024000")</f>
        <v>38024000</v>
      </c>
      <c r="G238" s="4" t="str">
        <f>HYPERLINK("http://141.218.60.56/~jnz1568/getInfo.php?workbook=16_14.xlsx&amp;sheet=A0&amp;row=238&amp;col=7&amp;number=&amp;sourceID=48","")</f>
        <v/>
      </c>
      <c r="H238" s="4" t="str">
        <f>HYPERLINK("http://141.218.60.56/~jnz1568/getInfo.php?workbook=16_14.xlsx&amp;sheet=A0&amp;row=238&amp;col=8&amp;number=&amp;sourceID=48","")</f>
        <v/>
      </c>
      <c r="I238" s="4" t="str">
        <f>HYPERLINK("http://141.218.60.56/~jnz1568/getInfo.php?workbook=16_14.xlsx&amp;sheet=A0&amp;row=238&amp;col=9&amp;number=&amp;sourceID=48","")</f>
        <v/>
      </c>
      <c r="J238" s="4" t="str">
        <f>HYPERLINK("http://141.218.60.56/~jnz1568/getInfo.php?workbook=16_14.xlsx&amp;sheet=A0&amp;row=238&amp;col=10&amp;number=&amp;sourceID=49","")</f>
        <v/>
      </c>
      <c r="K238" s="4" t="str">
        <f>HYPERLINK("http://141.218.60.56/~jnz1568/getInfo.php?workbook=16_14.xlsx&amp;sheet=A0&amp;row=238&amp;col=11&amp;number=&amp;sourceID=49","")</f>
        <v/>
      </c>
    </row>
    <row r="239" spans="1:11">
      <c r="A239" s="3">
        <v>16</v>
      </c>
      <c r="B239" s="3">
        <v>14</v>
      </c>
      <c r="C239" s="3">
        <v>38</v>
      </c>
      <c r="D239" s="3">
        <v>28</v>
      </c>
      <c r="E239" s="3">
        <f>((1/(INDEX(E0!J$4:J$47,C239,1)-INDEX(E0!J$4:J$47,D239,1))))*100000000</f>
        <v>0</v>
      </c>
      <c r="F239" s="4" t="str">
        <f>HYPERLINK("http://141.218.60.56/~jnz1568/getInfo.php?workbook=16_14.xlsx&amp;sheet=A0&amp;row=239&amp;col=6&amp;number=89126&amp;sourceID=48","89126")</f>
        <v>89126</v>
      </c>
      <c r="G239" s="4" t="str">
        <f>HYPERLINK("http://141.218.60.56/~jnz1568/getInfo.php?workbook=16_14.xlsx&amp;sheet=A0&amp;row=239&amp;col=7&amp;number=&amp;sourceID=48","")</f>
        <v/>
      </c>
      <c r="H239" s="4" t="str">
        <f>HYPERLINK("http://141.218.60.56/~jnz1568/getInfo.php?workbook=16_14.xlsx&amp;sheet=A0&amp;row=239&amp;col=8&amp;number=&amp;sourceID=48","")</f>
        <v/>
      </c>
      <c r="I239" s="4" t="str">
        <f>HYPERLINK("http://141.218.60.56/~jnz1568/getInfo.php?workbook=16_14.xlsx&amp;sheet=A0&amp;row=239&amp;col=9&amp;number=&amp;sourceID=48","")</f>
        <v/>
      </c>
      <c r="J239" s="4" t="str">
        <f>HYPERLINK("http://141.218.60.56/~jnz1568/getInfo.php?workbook=16_14.xlsx&amp;sheet=A0&amp;row=239&amp;col=10&amp;number=&amp;sourceID=49","")</f>
        <v/>
      </c>
      <c r="K239" s="4" t="str">
        <f>HYPERLINK("http://141.218.60.56/~jnz1568/getInfo.php?workbook=16_14.xlsx&amp;sheet=A0&amp;row=239&amp;col=11&amp;number=&amp;sourceID=49","")</f>
        <v/>
      </c>
    </row>
    <row r="240" spans="1:11">
      <c r="A240" s="3">
        <v>16</v>
      </c>
      <c r="B240" s="3">
        <v>14</v>
      </c>
      <c r="C240" s="3">
        <v>38</v>
      </c>
      <c r="D240" s="3">
        <v>29</v>
      </c>
      <c r="E240" s="3">
        <f>((1/(INDEX(E0!J$4:J$47,C240,1)-INDEX(E0!J$4:J$47,D240,1))))*100000000</f>
        <v>0</v>
      </c>
      <c r="F240" s="4" t="str">
        <f>HYPERLINK("http://141.218.60.56/~jnz1568/getInfo.php?workbook=16_14.xlsx&amp;sheet=A0&amp;row=240&amp;col=6&amp;number=6216.2&amp;sourceID=48","6216.2")</f>
        <v>6216.2</v>
      </c>
      <c r="G240" s="4" t="str">
        <f>HYPERLINK("http://141.218.60.56/~jnz1568/getInfo.php?workbook=16_14.xlsx&amp;sheet=A0&amp;row=240&amp;col=7&amp;number=&amp;sourceID=48","")</f>
        <v/>
      </c>
      <c r="H240" s="4" t="str">
        <f>HYPERLINK("http://141.218.60.56/~jnz1568/getInfo.php?workbook=16_14.xlsx&amp;sheet=A0&amp;row=240&amp;col=8&amp;number=&amp;sourceID=48","")</f>
        <v/>
      </c>
      <c r="I240" s="4" t="str">
        <f>HYPERLINK("http://141.218.60.56/~jnz1568/getInfo.php?workbook=16_14.xlsx&amp;sheet=A0&amp;row=240&amp;col=9&amp;number=&amp;sourceID=48","")</f>
        <v/>
      </c>
      <c r="J240" s="4" t="str">
        <f>HYPERLINK("http://141.218.60.56/~jnz1568/getInfo.php?workbook=16_14.xlsx&amp;sheet=A0&amp;row=240&amp;col=10&amp;number=&amp;sourceID=49","")</f>
        <v/>
      </c>
      <c r="K240" s="4" t="str">
        <f>HYPERLINK("http://141.218.60.56/~jnz1568/getInfo.php?workbook=16_14.xlsx&amp;sheet=A0&amp;row=240&amp;col=11&amp;number=&amp;sourceID=49","")</f>
        <v/>
      </c>
    </row>
    <row r="241" spans="1:11">
      <c r="A241" s="3">
        <v>16</v>
      </c>
      <c r="B241" s="3">
        <v>14</v>
      </c>
      <c r="C241" s="3">
        <v>38</v>
      </c>
      <c r="D241" s="3">
        <v>30</v>
      </c>
      <c r="E241" s="3">
        <f>((1/(INDEX(E0!J$4:J$47,C241,1)-INDEX(E0!J$4:J$47,D241,1))))*100000000</f>
        <v>0</v>
      </c>
      <c r="F241" s="4" t="str">
        <f>HYPERLINK("http://141.218.60.56/~jnz1568/getInfo.php?workbook=16_14.xlsx&amp;sheet=A0&amp;row=241&amp;col=6&amp;number=24126&amp;sourceID=48","24126")</f>
        <v>24126</v>
      </c>
      <c r="G241" s="4" t="str">
        <f>HYPERLINK("http://141.218.60.56/~jnz1568/getInfo.php?workbook=16_14.xlsx&amp;sheet=A0&amp;row=241&amp;col=7&amp;number=&amp;sourceID=48","")</f>
        <v/>
      </c>
      <c r="H241" s="4" t="str">
        <f>HYPERLINK("http://141.218.60.56/~jnz1568/getInfo.php?workbook=16_14.xlsx&amp;sheet=A0&amp;row=241&amp;col=8&amp;number=&amp;sourceID=48","")</f>
        <v/>
      </c>
      <c r="I241" s="4" t="str">
        <f>HYPERLINK("http://141.218.60.56/~jnz1568/getInfo.php?workbook=16_14.xlsx&amp;sheet=A0&amp;row=241&amp;col=9&amp;number=&amp;sourceID=48","")</f>
        <v/>
      </c>
      <c r="J241" s="4" t="str">
        <f>HYPERLINK("http://141.218.60.56/~jnz1568/getInfo.php?workbook=16_14.xlsx&amp;sheet=A0&amp;row=241&amp;col=10&amp;number=&amp;sourceID=49","")</f>
        <v/>
      </c>
      <c r="K241" s="4" t="str">
        <f>HYPERLINK("http://141.218.60.56/~jnz1568/getInfo.php?workbook=16_14.xlsx&amp;sheet=A0&amp;row=241&amp;col=11&amp;number=&amp;sourceID=49","")</f>
        <v/>
      </c>
    </row>
    <row r="242" spans="1:11">
      <c r="A242" s="3">
        <v>16</v>
      </c>
      <c r="B242" s="3">
        <v>14</v>
      </c>
      <c r="C242" s="3">
        <v>38</v>
      </c>
      <c r="D242" s="3">
        <v>31</v>
      </c>
      <c r="E242" s="3">
        <f>((1/(INDEX(E0!J$4:J$47,C242,1)-INDEX(E0!J$4:J$47,D242,1))))*100000000</f>
        <v>0</v>
      </c>
      <c r="F242" s="4" t="str">
        <f>HYPERLINK("http://141.218.60.56/~jnz1568/getInfo.php?workbook=16_14.xlsx&amp;sheet=A0&amp;row=242&amp;col=6&amp;number=158.96&amp;sourceID=48","158.96")</f>
        <v>158.96</v>
      </c>
      <c r="G242" s="4" t="str">
        <f>HYPERLINK("http://141.218.60.56/~jnz1568/getInfo.php?workbook=16_14.xlsx&amp;sheet=A0&amp;row=242&amp;col=7&amp;number=&amp;sourceID=48","")</f>
        <v/>
      </c>
      <c r="H242" s="4" t="str">
        <f>HYPERLINK("http://141.218.60.56/~jnz1568/getInfo.php?workbook=16_14.xlsx&amp;sheet=A0&amp;row=242&amp;col=8&amp;number=&amp;sourceID=48","")</f>
        <v/>
      </c>
      <c r="I242" s="4" t="str">
        <f>HYPERLINK("http://141.218.60.56/~jnz1568/getInfo.php?workbook=16_14.xlsx&amp;sheet=A0&amp;row=242&amp;col=9&amp;number=&amp;sourceID=48","")</f>
        <v/>
      </c>
      <c r="J242" s="4" t="str">
        <f>HYPERLINK("http://141.218.60.56/~jnz1568/getInfo.php?workbook=16_14.xlsx&amp;sheet=A0&amp;row=242&amp;col=10&amp;number=&amp;sourceID=49","")</f>
        <v/>
      </c>
      <c r="K242" s="4" t="str">
        <f>HYPERLINK("http://141.218.60.56/~jnz1568/getInfo.php?workbook=16_14.xlsx&amp;sheet=A0&amp;row=242&amp;col=11&amp;number=&amp;sourceID=49","")</f>
        <v/>
      </c>
    </row>
    <row r="243" spans="1:11">
      <c r="A243" s="3">
        <v>16</v>
      </c>
      <c r="B243" s="3">
        <v>14</v>
      </c>
      <c r="C243" s="3">
        <v>39</v>
      </c>
      <c r="D243" s="3">
        <v>6</v>
      </c>
      <c r="E243" s="3">
        <f>((1/(INDEX(E0!J$4:J$47,C243,1)-INDEX(E0!J$4:J$47,D243,1))))*100000000</f>
        <v>0</v>
      </c>
      <c r="F243" s="4" t="str">
        <f>HYPERLINK("http://141.218.60.56/~jnz1568/getInfo.php?workbook=16_14.xlsx&amp;sheet=A0&amp;row=243&amp;col=6&amp;number=21270&amp;sourceID=48","21270")</f>
        <v>21270</v>
      </c>
      <c r="G243" s="4" t="str">
        <f>HYPERLINK("http://141.218.60.56/~jnz1568/getInfo.php?workbook=16_14.xlsx&amp;sheet=A0&amp;row=243&amp;col=7&amp;number=&amp;sourceID=48","")</f>
        <v/>
      </c>
      <c r="H243" s="4" t="str">
        <f>HYPERLINK("http://141.218.60.56/~jnz1568/getInfo.php?workbook=16_14.xlsx&amp;sheet=A0&amp;row=243&amp;col=8&amp;number=&amp;sourceID=48","")</f>
        <v/>
      </c>
      <c r="I243" s="4" t="str">
        <f>HYPERLINK("http://141.218.60.56/~jnz1568/getInfo.php?workbook=16_14.xlsx&amp;sheet=A0&amp;row=243&amp;col=9&amp;number=&amp;sourceID=48","")</f>
        <v/>
      </c>
      <c r="J243" s="4" t="str">
        <f>HYPERLINK("http://141.218.60.56/~jnz1568/getInfo.php?workbook=16_14.xlsx&amp;sheet=A0&amp;row=243&amp;col=10&amp;number=&amp;sourceID=49","")</f>
        <v/>
      </c>
      <c r="K243" s="4" t="str">
        <f>HYPERLINK("http://141.218.60.56/~jnz1568/getInfo.php?workbook=16_14.xlsx&amp;sheet=A0&amp;row=243&amp;col=11&amp;number=&amp;sourceID=49","")</f>
        <v/>
      </c>
    </row>
    <row r="244" spans="1:11">
      <c r="A244" s="3">
        <v>16</v>
      </c>
      <c r="B244" s="3">
        <v>14</v>
      </c>
      <c r="C244" s="3">
        <v>39</v>
      </c>
      <c r="D244" s="3">
        <v>7</v>
      </c>
      <c r="E244" s="3">
        <f>((1/(INDEX(E0!J$4:J$47,C244,1)-INDEX(E0!J$4:J$47,D244,1))))*100000000</f>
        <v>0</v>
      </c>
      <c r="F244" s="4" t="str">
        <f>HYPERLINK("http://141.218.60.56/~jnz1568/getInfo.php?workbook=16_14.xlsx&amp;sheet=A0&amp;row=244&amp;col=6&amp;number=1453300&amp;sourceID=48","1453300")</f>
        <v>1453300</v>
      </c>
      <c r="G244" s="4" t="str">
        <f>HYPERLINK("http://141.218.60.56/~jnz1568/getInfo.php?workbook=16_14.xlsx&amp;sheet=A0&amp;row=244&amp;col=7&amp;number=&amp;sourceID=48","")</f>
        <v/>
      </c>
      <c r="H244" s="4" t="str">
        <f>HYPERLINK("http://141.218.60.56/~jnz1568/getInfo.php?workbook=16_14.xlsx&amp;sheet=A0&amp;row=244&amp;col=8&amp;number=&amp;sourceID=48","")</f>
        <v/>
      </c>
      <c r="I244" s="4" t="str">
        <f>HYPERLINK("http://141.218.60.56/~jnz1568/getInfo.php?workbook=16_14.xlsx&amp;sheet=A0&amp;row=244&amp;col=9&amp;number=&amp;sourceID=48","")</f>
        <v/>
      </c>
      <c r="J244" s="4" t="str">
        <f>HYPERLINK("http://141.218.60.56/~jnz1568/getInfo.php?workbook=16_14.xlsx&amp;sheet=A0&amp;row=244&amp;col=10&amp;number=&amp;sourceID=49","")</f>
        <v/>
      </c>
      <c r="K244" s="4" t="str">
        <f>HYPERLINK("http://141.218.60.56/~jnz1568/getInfo.php?workbook=16_14.xlsx&amp;sheet=A0&amp;row=244&amp;col=11&amp;number=&amp;sourceID=49","")</f>
        <v/>
      </c>
    </row>
    <row r="245" spans="1:11">
      <c r="A245" s="3">
        <v>16</v>
      </c>
      <c r="B245" s="3">
        <v>14</v>
      </c>
      <c r="C245" s="3">
        <v>39</v>
      </c>
      <c r="D245" s="3">
        <v>8</v>
      </c>
      <c r="E245" s="3">
        <f>((1/(INDEX(E0!J$4:J$47,C245,1)-INDEX(E0!J$4:J$47,D245,1))))*100000000</f>
        <v>0</v>
      </c>
      <c r="F245" s="4" t="str">
        <f>HYPERLINK("http://141.218.60.56/~jnz1568/getInfo.php?workbook=16_14.xlsx&amp;sheet=A0&amp;row=245&amp;col=6&amp;number=4229900&amp;sourceID=48","4229900")</f>
        <v>4229900</v>
      </c>
      <c r="G245" s="4" t="str">
        <f>HYPERLINK("http://141.218.60.56/~jnz1568/getInfo.php?workbook=16_14.xlsx&amp;sheet=A0&amp;row=245&amp;col=7&amp;number=&amp;sourceID=48","")</f>
        <v/>
      </c>
      <c r="H245" s="4" t="str">
        <f>HYPERLINK("http://141.218.60.56/~jnz1568/getInfo.php?workbook=16_14.xlsx&amp;sheet=A0&amp;row=245&amp;col=8&amp;number=&amp;sourceID=48","")</f>
        <v/>
      </c>
      <c r="I245" s="4" t="str">
        <f>HYPERLINK("http://141.218.60.56/~jnz1568/getInfo.php?workbook=16_14.xlsx&amp;sheet=A0&amp;row=245&amp;col=9&amp;number=&amp;sourceID=48","")</f>
        <v/>
      </c>
      <c r="J245" s="4" t="str">
        <f>HYPERLINK("http://141.218.60.56/~jnz1568/getInfo.php?workbook=16_14.xlsx&amp;sheet=A0&amp;row=245&amp;col=10&amp;number=&amp;sourceID=49","")</f>
        <v/>
      </c>
      <c r="K245" s="4" t="str">
        <f>HYPERLINK("http://141.218.60.56/~jnz1568/getInfo.php?workbook=16_14.xlsx&amp;sheet=A0&amp;row=245&amp;col=11&amp;number=&amp;sourceID=49","")</f>
        <v/>
      </c>
    </row>
    <row r="246" spans="1:11">
      <c r="A246" s="3">
        <v>16</v>
      </c>
      <c r="B246" s="3">
        <v>14</v>
      </c>
      <c r="C246" s="3">
        <v>39</v>
      </c>
      <c r="D246" s="3">
        <v>10</v>
      </c>
      <c r="E246" s="3">
        <f>((1/(INDEX(E0!J$4:J$47,C246,1)-INDEX(E0!J$4:J$47,D246,1))))*100000000</f>
        <v>0</v>
      </c>
      <c r="F246" s="4" t="str">
        <f>HYPERLINK("http://141.218.60.56/~jnz1568/getInfo.php?workbook=16_14.xlsx&amp;sheet=A0&amp;row=246&amp;col=6&amp;number=133410000&amp;sourceID=48","133410000")</f>
        <v>133410000</v>
      </c>
      <c r="G246" s="4" t="str">
        <f>HYPERLINK("http://141.218.60.56/~jnz1568/getInfo.php?workbook=16_14.xlsx&amp;sheet=A0&amp;row=246&amp;col=7&amp;number=&amp;sourceID=48","")</f>
        <v/>
      </c>
      <c r="H246" s="4" t="str">
        <f>HYPERLINK("http://141.218.60.56/~jnz1568/getInfo.php?workbook=16_14.xlsx&amp;sheet=A0&amp;row=246&amp;col=8&amp;number=&amp;sourceID=48","")</f>
        <v/>
      </c>
      <c r="I246" s="4" t="str">
        <f>HYPERLINK("http://141.218.60.56/~jnz1568/getInfo.php?workbook=16_14.xlsx&amp;sheet=A0&amp;row=246&amp;col=9&amp;number=&amp;sourceID=48","")</f>
        <v/>
      </c>
      <c r="J246" s="4" t="str">
        <f>HYPERLINK("http://141.218.60.56/~jnz1568/getInfo.php?workbook=16_14.xlsx&amp;sheet=A0&amp;row=246&amp;col=10&amp;number=&amp;sourceID=49","")</f>
        <v/>
      </c>
      <c r="K246" s="4" t="str">
        <f>HYPERLINK("http://141.218.60.56/~jnz1568/getInfo.php?workbook=16_14.xlsx&amp;sheet=A0&amp;row=246&amp;col=11&amp;number=&amp;sourceID=49","")</f>
        <v/>
      </c>
    </row>
    <row r="247" spans="1:11">
      <c r="A247" s="3">
        <v>16</v>
      </c>
      <c r="B247" s="3">
        <v>14</v>
      </c>
      <c r="C247" s="3">
        <v>39</v>
      </c>
      <c r="D247" s="3">
        <v>11</v>
      </c>
      <c r="E247" s="3">
        <f>((1/(INDEX(E0!J$4:J$47,C247,1)-INDEX(E0!J$4:J$47,D247,1))))*100000000</f>
        <v>0</v>
      </c>
      <c r="F247" s="4" t="str">
        <f>HYPERLINK("http://141.218.60.56/~jnz1568/getInfo.php?workbook=16_14.xlsx&amp;sheet=A0&amp;row=247&amp;col=6&amp;number=101350000&amp;sourceID=48","101350000")</f>
        <v>101350000</v>
      </c>
      <c r="G247" s="4" t="str">
        <f>HYPERLINK("http://141.218.60.56/~jnz1568/getInfo.php?workbook=16_14.xlsx&amp;sheet=A0&amp;row=247&amp;col=7&amp;number=&amp;sourceID=48","")</f>
        <v/>
      </c>
      <c r="H247" s="4" t="str">
        <f>HYPERLINK("http://141.218.60.56/~jnz1568/getInfo.php?workbook=16_14.xlsx&amp;sheet=A0&amp;row=247&amp;col=8&amp;number=&amp;sourceID=48","")</f>
        <v/>
      </c>
      <c r="I247" s="4" t="str">
        <f>HYPERLINK("http://141.218.60.56/~jnz1568/getInfo.php?workbook=16_14.xlsx&amp;sheet=A0&amp;row=247&amp;col=9&amp;number=&amp;sourceID=48","")</f>
        <v/>
      </c>
      <c r="J247" s="4" t="str">
        <f>HYPERLINK("http://141.218.60.56/~jnz1568/getInfo.php?workbook=16_14.xlsx&amp;sheet=A0&amp;row=247&amp;col=10&amp;number=&amp;sourceID=49","")</f>
        <v/>
      </c>
      <c r="K247" s="4" t="str">
        <f>HYPERLINK("http://141.218.60.56/~jnz1568/getInfo.php?workbook=16_14.xlsx&amp;sheet=A0&amp;row=247&amp;col=11&amp;number=&amp;sourceID=49","")</f>
        <v/>
      </c>
    </row>
    <row r="248" spans="1:11">
      <c r="A248" s="3">
        <v>16</v>
      </c>
      <c r="B248" s="3">
        <v>14</v>
      </c>
      <c r="C248" s="3">
        <v>39</v>
      </c>
      <c r="D248" s="3">
        <v>12</v>
      </c>
      <c r="E248" s="3">
        <f>((1/(INDEX(E0!J$4:J$47,C248,1)-INDEX(E0!J$4:J$47,D248,1))))*100000000</f>
        <v>0</v>
      </c>
      <c r="F248" s="4" t="str">
        <f>HYPERLINK("http://141.218.60.56/~jnz1568/getInfo.php?workbook=16_14.xlsx&amp;sheet=A0&amp;row=248&amp;col=6&amp;number=37616000&amp;sourceID=48","37616000")</f>
        <v>37616000</v>
      </c>
      <c r="G248" s="4" t="str">
        <f>HYPERLINK("http://141.218.60.56/~jnz1568/getInfo.php?workbook=16_14.xlsx&amp;sheet=A0&amp;row=248&amp;col=7&amp;number=&amp;sourceID=48","")</f>
        <v/>
      </c>
      <c r="H248" s="4" t="str">
        <f>HYPERLINK("http://141.218.60.56/~jnz1568/getInfo.php?workbook=16_14.xlsx&amp;sheet=A0&amp;row=248&amp;col=8&amp;number=&amp;sourceID=48","")</f>
        <v/>
      </c>
      <c r="I248" s="4" t="str">
        <f>HYPERLINK("http://141.218.60.56/~jnz1568/getInfo.php?workbook=16_14.xlsx&amp;sheet=A0&amp;row=248&amp;col=9&amp;number=&amp;sourceID=48","")</f>
        <v/>
      </c>
      <c r="J248" s="4" t="str">
        <f>HYPERLINK("http://141.218.60.56/~jnz1568/getInfo.php?workbook=16_14.xlsx&amp;sheet=A0&amp;row=248&amp;col=10&amp;number=&amp;sourceID=49","")</f>
        <v/>
      </c>
      <c r="K248" s="4" t="str">
        <f>HYPERLINK("http://141.218.60.56/~jnz1568/getInfo.php?workbook=16_14.xlsx&amp;sheet=A0&amp;row=248&amp;col=11&amp;number=&amp;sourceID=49","")</f>
        <v/>
      </c>
    </row>
    <row r="249" spans="1:11">
      <c r="A249" s="3">
        <v>16</v>
      </c>
      <c r="B249" s="3">
        <v>14</v>
      </c>
      <c r="C249" s="3">
        <v>39</v>
      </c>
      <c r="D249" s="3">
        <v>13</v>
      </c>
      <c r="E249" s="3">
        <f>((1/(INDEX(E0!J$4:J$47,C249,1)-INDEX(E0!J$4:J$47,D249,1))))*100000000</f>
        <v>0</v>
      </c>
      <c r="F249" s="4" t="str">
        <f>HYPERLINK("http://141.218.60.56/~jnz1568/getInfo.php?workbook=16_14.xlsx&amp;sheet=A0&amp;row=249&amp;col=6&amp;number=1460300&amp;sourceID=48","1460300")</f>
        <v>1460300</v>
      </c>
      <c r="G249" s="4" t="str">
        <f>HYPERLINK("http://141.218.60.56/~jnz1568/getInfo.php?workbook=16_14.xlsx&amp;sheet=A0&amp;row=249&amp;col=7&amp;number=&amp;sourceID=48","")</f>
        <v/>
      </c>
      <c r="H249" s="4" t="str">
        <f>HYPERLINK("http://141.218.60.56/~jnz1568/getInfo.php?workbook=16_14.xlsx&amp;sheet=A0&amp;row=249&amp;col=8&amp;number=&amp;sourceID=48","")</f>
        <v/>
      </c>
      <c r="I249" s="4" t="str">
        <f>HYPERLINK("http://141.218.60.56/~jnz1568/getInfo.php?workbook=16_14.xlsx&amp;sheet=A0&amp;row=249&amp;col=9&amp;number=&amp;sourceID=48","")</f>
        <v/>
      </c>
      <c r="J249" s="4" t="str">
        <f>HYPERLINK("http://141.218.60.56/~jnz1568/getInfo.php?workbook=16_14.xlsx&amp;sheet=A0&amp;row=249&amp;col=10&amp;number=&amp;sourceID=49","")</f>
        <v/>
      </c>
      <c r="K249" s="4" t="str">
        <f>HYPERLINK("http://141.218.60.56/~jnz1568/getInfo.php?workbook=16_14.xlsx&amp;sheet=A0&amp;row=249&amp;col=11&amp;number=&amp;sourceID=49","")</f>
        <v/>
      </c>
    </row>
    <row r="250" spans="1:11">
      <c r="A250" s="3">
        <v>16</v>
      </c>
      <c r="B250" s="3">
        <v>14</v>
      </c>
      <c r="C250" s="3">
        <v>39</v>
      </c>
      <c r="D250" s="3">
        <v>14</v>
      </c>
      <c r="E250" s="3">
        <f>((1/(INDEX(E0!J$4:J$47,C250,1)-INDEX(E0!J$4:J$47,D250,1))))*100000000</f>
        <v>0</v>
      </c>
      <c r="F250" s="4" t="str">
        <f>HYPERLINK("http://141.218.60.56/~jnz1568/getInfo.php?workbook=16_14.xlsx&amp;sheet=A0&amp;row=250&amp;col=6&amp;number=4522&amp;sourceID=48","4522")</f>
        <v>4522</v>
      </c>
      <c r="G250" s="4" t="str">
        <f>HYPERLINK("http://141.218.60.56/~jnz1568/getInfo.php?workbook=16_14.xlsx&amp;sheet=A0&amp;row=250&amp;col=7&amp;number=&amp;sourceID=48","")</f>
        <v/>
      </c>
      <c r="H250" s="4" t="str">
        <f>HYPERLINK("http://141.218.60.56/~jnz1568/getInfo.php?workbook=16_14.xlsx&amp;sheet=A0&amp;row=250&amp;col=8&amp;number=&amp;sourceID=48","")</f>
        <v/>
      </c>
      <c r="I250" s="4" t="str">
        <f>HYPERLINK("http://141.218.60.56/~jnz1568/getInfo.php?workbook=16_14.xlsx&amp;sheet=A0&amp;row=250&amp;col=9&amp;number=&amp;sourceID=48","")</f>
        <v/>
      </c>
      <c r="J250" s="4" t="str">
        <f>HYPERLINK("http://141.218.60.56/~jnz1568/getInfo.php?workbook=16_14.xlsx&amp;sheet=A0&amp;row=250&amp;col=10&amp;number=&amp;sourceID=49","")</f>
        <v/>
      </c>
      <c r="K250" s="4" t="str">
        <f>HYPERLINK("http://141.218.60.56/~jnz1568/getInfo.php?workbook=16_14.xlsx&amp;sheet=A0&amp;row=250&amp;col=11&amp;number=&amp;sourceID=49","")</f>
        <v/>
      </c>
    </row>
    <row r="251" spans="1:11">
      <c r="A251" s="3">
        <v>16</v>
      </c>
      <c r="B251" s="3">
        <v>14</v>
      </c>
      <c r="C251" s="3">
        <v>39</v>
      </c>
      <c r="D251" s="3">
        <v>17</v>
      </c>
      <c r="E251" s="3">
        <f>((1/(INDEX(E0!J$4:J$47,C251,1)-INDEX(E0!J$4:J$47,D251,1))))*100000000</f>
        <v>0</v>
      </c>
      <c r="F251" s="4" t="str">
        <f>HYPERLINK("http://141.218.60.56/~jnz1568/getInfo.php?workbook=16_14.xlsx&amp;sheet=A0&amp;row=251&amp;col=6&amp;number=441.93&amp;sourceID=48","441.93")</f>
        <v>441.93</v>
      </c>
      <c r="G251" s="4" t="str">
        <f>HYPERLINK("http://141.218.60.56/~jnz1568/getInfo.php?workbook=16_14.xlsx&amp;sheet=A0&amp;row=251&amp;col=7&amp;number=&amp;sourceID=48","")</f>
        <v/>
      </c>
      <c r="H251" s="4" t="str">
        <f>HYPERLINK("http://141.218.60.56/~jnz1568/getInfo.php?workbook=16_14.xlsx&amp;sheet=A0&amp;row=251&amp;col=8&amp;number=&amp;sourceID=48","")</f>
        <v/>
      </c>
      <c r="I251" s="4" t="str">
        <f>HYPERLINK("http://141.218.60.56/~jnz1568/getInfo.php?workbook=16_14.xlsx&amp;sheet=A0&amp;row=251&amp;col=9&amp;number=&amp;sourceID=48","")</f>
        <v/>
      </c>
      <c r="J251" s="4" t="str">
        <f>HYPERLINK("http://141.218.60.56/~jnz1568/getInfo.php?workbook=16_14.xlsx&amp;sheet=A0&amp;row=251&amp;col=10&amp;number=&amp;sourceID=49","")</f>
        <v/>
      </c>
      <c r="K251" s="4" t="str">
        <f>HYPERLINK("http://141.218.60.56/~jnz1568/getInfo.php?workbook=16_14.xlsx&amp;sheet=A0&amp;row=251&amp;col=11&amp;number=&amp;sourceID=49","")</f>
        <v/>
      </c>
    </row>
    <row r="252" spans="1:11">
      <c r="A252" s="3">
        <v>16</v>
      </c>
      <c r="B252" s="3">
        <v>14</v>
      </c>
      <c r="C252" s="3">
        <v>39</v>
      </c>
      <c r="D252" s="3">
        <v>18</v>
      </c>
      <c r="E252" s="3">
        <f>((1/(INDEX(E0!J$4:J$47,C252,1)-INDEX(E0!J$4:J$47,D252,1))))*100000000</f>
        <v>0</v>
      </c>
      <c r="F252" s="4" t="str">
        <f>HYPERLINK("http://141.218.60.56/~jnz1568/getInfo.php?workbook=16_14.xlsx&amp;sheet=A0&amp;row=252&amp;col=6&amp;number=9840.7&amp;sourceID=48","9840.7")</f>
        <v>9840.7</v>
      </c>
      <c r="G252" s="4" t="str">
        <f>HYPERLINK("http://141.218.60.56/~jnz1568/getInfo.php?workbook=16_14.xlsx&amp;sheet=A0&amp;row=252&amp;col=7&amp;number=&amp;sourceID=48","")</f>
        <v/>
      </c>
      <c r="H252" s="4" t="str">
        <f>HYPERLINK("http://141.218.60.56/~jnz1568/getInfo.php?workbook=16_14.xlsx&amp;sheet=A0&amp;row=252&amp;col=8&amp;number=&amp;sourceID=48","")</f>
        <v/>
      </c>
      <c r="I252" s="4" t="str">
        <f>HYPERLINK("http://141.218.60.56/~jnz1568/getInfo.php?workbook=16_14.xlsx&amp;sheet=A0&amp;row=252&amp;col=9&amp;number=&amp;sourceID=48","")</f>
        <v/>
      </c>
      <c r="J252" s="4" t="str">
        <f>HYPERLINK("http://141.218.60.56/~jnz1568/getInfo.php?workbook=16_14.xlsx&amp;sheet=A0&amp;row=252&amp;col=10&amp;number=&amp;sourceID=49","")</f>
        <v/>
      </c>
      <c r="K252" s="4" t="str">
        <f>HYPERLINK("http://141.218.60.56/~jnz1568/getInfo.php?workbook=16_14.xlsx&amp;sheet=A0&amp;row=252&amp;col=11&amp;number=&amp;sourceID=49","")</f>
        <v/>
      </c>
    </row>
    <row r="253" spans="1:11">
      <c r="A253" s="3">
        <v>16</v>
      </c>
      <c r="B253" s="3">
        <v>14</v>
      </c>
      <c r="C253" s="3">
        <v>39</v>
      </c>
      <c r="D253" s="3">
        <v>18</v>
      </c>
      <c r="E253" s="3">
        <f>((1/(INDEX(E0!J$4:J$47,C253,1)-INDEX(E0!J$4:J$47,D253,1))))*100000000</f>
        <v>0</v>
      </c>
      <c r="F253" s="4" t="str">
        <f>HYPERLINK("http://141.218.60.56/~jnz1568/getInfo.php?workbook=16_14.xlsx&amp;sheet=A0&amp;row=253&amp;col=6&amp;number=9840.6&amp;sourceID=48","9840.6")</f>
        <v>9840.6</v>
      </c>
      <c r="G253" s="4" t="str">
        <f>HYPERLINK("http://141.218.60.56/~jnz1568/getInfo.php?workbook=16_14.xlsx&amp;sheet=A0&amp;row=253&amp;col=7&amp;number=&amp;sourceID=48","")</f>
        <v/>
      </c>
      <c r="H253" s="4" t="str">
        <f>HYPERLINK("http://141.218.60.56/~jnz1568/getInfo.php?workbook=16_14.xlsx&amp;sheet=A0&amp;row=253&amp;col=8&amp;number=&amp;sourceID=48","")</f>
        <v/>
      </c>
      <c r="I253" s="4" t="str">
        <f>HYPERLINK("http://141.218.60.56/~jnz1568/getInfo.php?workbook=16_14.xlsx&amp;sheet=A0&amp;row=253&amp;col=9&amp;number=&amp;sourceID=48","")</f>
        <v/>
      </c>
      <c r="J253" s="4" t="str">
        <f>HYPERLINK("http://141.218.60.56/~jnz1568/getInfo.php?workbook=16_14.xlsx&amp;sheet=A0&amp;row=253&amp;col=10&amp;number=&amp;sourceID=49","")</f>
        <v/>
      </c>
      <c r="K253" s="4" t="str">
        <f>HYPERLINK("http://141.218.60.56/~jnz1568/getInfo.php?workbook=16_14.xlsx&amp;sheet=A0&amp;row=253&amp;col=11&amp;number=&amp;sourceID=49","")</f>
        <v/>
      </c>
    </row>
    <row r="254" spans="1:11">
      <c r="A254" s="3">
        <v>16</v>
      </c>
      <c r="B254" s="3">
        <v>14</v>
      </c>
      <c r="C254" s="3">
        <v>39</v>
      </c>
      <c r="D254" s="3">
        <v>19</v>
      </c>
      <c r="E254" s="3">
        <f>((1/(INDEX(E0!J$4:J$47,C254,1)-INDEX(E0!J$4:J$47,D254,1))))*100000000</f>
        <v>0</v>
      </c>
      <c r="F254" s="4" t="str">
        <f>HYPERLINK("http://141.218.60.56/~jnz1568/getInfo.php?workbook=16_14.xlsx&amp;sheet=A0&amp;row=254&amp;col=6&amp;number=133900&amp;sourceID=48","133900")</f>
        <v>133900</v>
      </c>
      <c r="G254" s="4" t="str">
        <f>HYPERLINK("http://141.218.60.56/~jnz1568/getInfo.php?workbook=16_14.xlsx&amp;sheet=A0&amp;row=254&amp;col=7&amp;number=&amp;sourceID=48","")</f>
        <v/>
      </c>
      <c r="H254" s="4" t="str">
        <f>HYPERLINK("http://141.218.60.56/~jnz1568/getInfo.php?workbook=16_14.xlsx&amp;sheet=A0&amp;row=254&amp;col=8&amp;number=&amp;sourceID=48","")</f>
        <v/>
      </c>
      <c r="I254" s="4" t="str">
        <f>HYPERLINK("http://141.218.60.56/~jnz1568/getInfo.php?workbook=16_14.xlsx&amp;sheet=A0&amp;row=254&amp;col=9&amp;number=&amp;sourceID=48","")</f>
        <v/>
      </c>
      <c r="J254" s="4" t="str">
        <f>HYPERLINK("http://141.218.60.56/~jnz1568/getInfo.php?workbook=16_14.xlsx&amp;sheet=A0&amp;row=254&amp;col=10&amp;number=&amp;sourceID=49","")</f>
        <v/>
      </c>
      <c r="K254" s="4" t="str">
        <f>HYPERLINK("http://141.218.60.56/~jnz1568/getInfo.php?workbook=16_14.xlsx&amp;sheet=A0&amp;row=254&amp;col=11&amp;number=&amp;sourceID=49","")</f>
        <v/>
      </c>
    </row>
    <row r="255" spans="1:11">
      <c r="A255" s="3">
        <v>16</v>
      </c>
      <c r="B255" s="3">
        <v>14</v>
      </c>
      <c r="C255" s="3">
        <v>39</v>
      </c>
      <c r="D255" s="3">
        <v>20</v>
      </c>
      <c r="E255" s="3">
        <f>((1/(INDEX(E0!J$4:J$47,C255,1)-INDEX(E0!J$4:J$47,D255,1))))*100000000</f>
        <v>0</v>
      </c>
      <c r="F255" s="4" t="str">
        <f>HYPERLINK("http://141.218.60.56/~jnz1568/getInfo.php?workbook=16_14.xlsx&amp;sheet=A0&amp;row=255&amp;col=6&amp;number=146010&amp;sourceID=48","146010")</f>
        <v>146010</v>
      </c>
      <c r="G255" s="4" t="str">
        <f>HYPERLINK("http://141.218.60.56/~jnz1568/getInfo.php?workbook=16_14.xlsx&amp;sheet=A0&amp;row=255&amp;col=7&amp;number=&amp;sourceID=48","")</f>
        <v/>
      </c>
      <c r="H255" s="4" t="str">
        <f>HYPERLINK("http://141.218.60.56/~jnz1568/getInfo.php?workbook=16_14.xlsx&amp;sheet=A0&amp;row=255&amp;col=8&amp;number=&amp;sourceID=48","")</f>
        <v/>
      </c>
      <c r="I255" s="4" t="str">
        <f>HYPERLINK("http://141.218.60.56/~jnz1568/getInfo.php?workbook=16_14.xlsx&amp;sheet=A0&amp;row=255&amp;col=9&amp;number=&amp;sourceID=48","")</f>
        <v/>
      </c>
      <c r="J255" s="4" t="str">
        <f>HYPERLINK("http://141.218.60.56/~jnz1568/getInfo.php?workbook=16_14.xlsx&amp;sheet=A0&amp;row=255&amp;col=10&amp;number=&amp;sourceID=49","")</f>
        <v/>
      </c>
      <c r="K255" s="4" t="str">
        <f>HYPERLINK("http://141.218.60.56/~jnz1568/getInfo.php?workbook=16_14.xlsx&amp;sheet=A0&amp;row=255&amp;col=11&amp;number=&amp;sourceID=49","")</f>
        <v/>
      </c>
    </row>
    <row r="256" spans="1:11">
      <c r="A256" s="3">
        <v>16</v>
      </c>
      <c r="B256" s="3">
        <v>14</v>
      </c>
      <c r="C256" s="3">
        <v>39</v>
      </c>
      <c r="D256" s="3">
        <v>21</v>
      </c>
      <c r="E256" s="3">
        <f>((1/(INDEX(E0!J$4:J$47,C256,1)-INDEX(E0!J$4:J$47,D256,1))))*100000000</f>
        <v>0</v>
      </c>
      <c r="F256" s="4" t="str">
        <f>HYPERLINK("http://141.218.60.56/~jnz1568/getInfo.php?workbook=16_14.xlsx&amp;sheet=A0&amp;row=256&amp;col=6&amp;number=9534400&amp;sourceID=48","9534400")</f>
        <v>9534400</v>
      </c>
      <c r="G256" s="4" t="str">
        <f>HYPERLINK("http://141.218.60.56/~jnz1568/getInfo.php?workbook=16_14.xlsx&amp;sheet=A0&amp;row=256&amp;col=7&amp;number=&amp;sourceID=48","")</f>
        <v/>
      </c>
      <c r="H256" s="4" t="str">
        <f>HYPERLINK("http://141.218.60.56/~jnz1568/getInfo.php?workbook=16_14.xlsx&amp;sheet=A0&amp;row=256&amp;col=8&amp;number=&amp;sourceID=48","")</f>
        <v/>
      </c>
      <c r="I256" s="4" t="str">
        <f>HYPERLINK("http://141.218.60.56/~jnz1568/getInfo.php?workbook=16_14.xlsx&amp;sheet=A0&amp;row=256&amp;col=9&amp;number=&amp;sourceID=48","")</f>
        <v/>
      </c>
      <c r="J256" s="4" t="str">
        <f>HYPERLINK("http://141.218.60.56/~jnz1568/getInfo.php?workbook=16_14.xlsx&amp;sheet=A0&amp;row=256&amp;col=10&amp;number=&amp;sourceID=49","")</f>
        <v/>
      </c>
      <c r="K256" s="4" t="str">
        <f>HYPERLINK("http://141.218.60.56/~jnz1568/getInfo.php?workbook=16_14.xlsx&amp;sheet=A0&amp;row=256&amp;col=11&amp;number=&amp;sourceID=49","")</f>
        <v/>
      </c>
    </row>
    <row r="257" spans="1:11">
      <c r="A257" s="3">
        <v>16</v>
      </c>
      <c r="B257" s="3">
        <v>14</v>
      </c>
      <c r="C257" s="3">
        <v>39</v>
      </c>
      <c r="D257" s="3">
        <v>22</v>
      </c>
      <c r="E257" s="3">
        <f>((1/(INDEX(E0!J$4:J$47,C257,1)-INDEX(E0!J$4:J$47,D257,1))))*100000000</f>
        <v>0</v>
      </c>
      <c r="F257" s="4" t="str">
        <f>HYPERLINK("http://141.218.60.56/~jnz1568/getInfo.php?workbook=16_14.xlsx&amp;sheet=A0&amp;row=257&amp;col=6&amp;number=18019000&amp;sourceID=48","18019000")</f>
        <v>18019000</v>
      </c>
      <c r="G257" s="4" t="str">
        <f>HYPERLINK("http://141.218.60.56/~jnz1568/getInfo.php?workbook=16_14.xlsx&amp;sheet=A0&amp;row=257&amp;col=7&amp;number=&amp;sourceID=48","")</f>
        <v/>
      </c>
      <c r="H257" s="4" t="str">
        <f>HYPERLINK("http://141.218.60.56/~jnz1568/getInfo.php?workbook=16_14.xlsx&amp;sheet=A0&amp;row=257&amp;col=8&amp;number=&amp;sourceID=48","")</f>
        <v/>
      </c>
      <c r="I257" s="4" t="str">
        <f>HYPERLINK("http://141.218.60.56/~jnz1568/getInfo.php?workbook=16_14.xlsx&amp;sheet=A0&amp;row=257&amp;col=9&amp;number=&amp;sourceID=48","")</f>
        <v/>
      </c>
      <c r="J257" s="4" t="str">
        <f>HYPERLINK("http://141.218.60.56/~jnz1568/getInfo.php?workbook=16_14.xlsx&amp;sheet=A0&amp;row=257&amp;col=10&amp;number=&amp;sourceID=49","")</f>
        <v/>
      </c>
      <c r="K257" s="4" t="str">
        <f>HYPERLINK("http://141.218.60.56/~jnz1568/getInfo.php?workbook=16_14.xlsx&amp;sheet=A0&amp;row=257&amp;col=11&amp;number=&amp;sourceID=49","")</f>
        <v/>
      </c>
    </row>
    <row r="258" spans="1:11">
      <c r="A258" s="3">
        <v>16</v>
      </c>
      <c r="B258" s="3">
        <v>14</v>
      </c>
      <c r="C258" s="3">
        <v>39</v>
      </c>
      <c r="D258" s="3">
        <v>23</v>
      </c>
      <c r="E258" s="3">
        <f>((1/(INDEX(E0!J$4:J$47,C258,1)-INDEX(E0!J$4:J$47,D258,1))))*100000000</f>
        <v>0</v>
      </c>
      <c r="F258" s="4" t="str">
        <f>HYPERLINK("http://141.218.60.56/~jnz1568/getInfo.php?workbook=16_14.xlsx&amp;sheet=A0&amp;row=258&amp;col=6&amp;number=52296000&amp;sourceID=48","52296000")</f>
        <v>52296000</v>
      </c>
      <c r="G258" s="4" t="str">
        <f>HYPERLINK("http://141.218.60.56/~jnz1568/getInfo.php?workbook=16_14.xlsx&amp;sheet=A0&amp;row=258&amp;col=7&amp;number=&amp;sourceID=48","")</f>
        <v/>
      </c>
      <c r="H258" s="4" t="str">
        <f>HYPERLINK("http://141.218.60.56/~jnz1568/getInfo.php?workbook=16_14.xlsx&amp;sheet=A0&amp;row=258&amp;col=8&amp;number=&amp;sourceID=48","")</f>
        <v/>
      </c>
      <c r="I258" s="4" t="str">
        <f>HYPERLINK("http://141.218.60.56/~jnz1568/getInfo.php?workbook=16_14.xlsx&amp;sheet=A0&amp;row=258&amp;col=9&amp;number=&amp;sourceID=48","")</f>
        <v/>
      </c>
      <c r="J258" s="4" t="str">
        <f>HYPERLINK("http://141.218.60.56/~jnz1568/getInfo.php?workbook=16_14.xlsx&amp;sheet=A0&amp;row=258&amp;col=10&amp;number=&amp;sourceID=49","")</f>
        <v/>
      </c>
      <c r="K258" s="4" t="str">
        <f>HYPERLINK("http://141.218.60.56/~jnz1568/getInfo.php?workbook=16_14.xlsx&amp;sheet=A0&amp;row=258&amp;col=11&amp;number=&amp;sourceID=49","")</f>
        <v/>
      </c>
    </row>
    <row r="259" spans="1:11">
      <c r="A259" s="3">
        <v>16</v>
      </c>
      <c r="B259" s="3">
        <v>14</v>
      </c>
      <c r="C259" s="3">
        <v>39</v>
      </c>
      <c r="D259" s="3">
        <v>24</v>
      </c>
      <c r="E259" s="3">
        <f>((1/(INDEX(E0!J$4:J$47,C259,1)-INDEX(E0!J$4:J$47,D259,1))))*100000000</f>
        <v>0</v>
      </c>
      <c r="F259" s="4" t="str">
        <f>HYPERLINK("http://141.218.60.56/~jnz1568/getInfo.php?workbook=16_14.xlsx&amp;sheet=A0&amp;row=259&amp;col=6&amp;number=129120000&amp;sourceID=48","129120000")</f>
        <v>129120000</v>
      </c>
      <c r="G259" s="4" t="str">
        <f>HYPERLINK("http://141.218.60.56/~jnz1568/getInfo.php?workbook=16_14.xlsx&amp;sheet=A0&amp;row=259&amp;col=7&amp;number=&amp;sourceID=48","")</f>
        <v/>
      </c>
      <c r="H259" s="4" t="str">
        <f>HYPERLINK("http://141.218.60.56/~jnz1568/getInfo.php?workbook=16_14.xlsx&amp;sheet=A0&amp;row=259&amp;col=8&amp;number=&amp;sourceID=48","")</f>
        <v/>
      </c>
      <c r="I259" s="4" t="str">
        <f>HYPERLINK("http://141.218.60.56/~jnz1568/getInfo.php?workbook=16_14.xlsx&amp;sheet=A0&amp;row=259&amp;col=9&amp;number=&amp;sourceID=48","")</f>
        <v/>
      </c>
      <c r="J259" s="4" t="str">
        <f>HYPERLINK("http://141.218.60.56/~jnz1568/getInfo.php?workbook=16_14.xlsx&amp;sheet=A0&amp;row=259&amp;col=10&amp;number=&amp;sourceID=49","")</f>
        <v/>
      </c>
      <c r="K259" s="4" t="str">
        <f>HYPERLINK("http://141.218.60.56/~jnz1568/getInfo.php?workbook=16_14.xlsx&amp;sheet=A0&amp;row=259&amp;col=11&amp;number=&amp;sourceID=49","")</f>
        <v/>
      </c>
    </row>
    <row r="260" spans="1:11">
      <c r="A260" s="3">
        <v>16</v>
      </c>
      <c r="B260" s="3">
        <v>14</v>
      </c>
      <c r="C260" s="3">
        <v>39</v>
      </c>
      <c r="D260" s="3">
        <v>25</v>
      </c>
      <c r="E260" s="3">
        <f>((1/(INDEX(E0!J$4:J$47,C260,1)-INDEX(E0!J$4:J$47,D260,1))))*100000000</f>
        <v>0</v>
      </c>
      <c r="F260" s="4" t="str">
        <f>HYPERLINK("http://141.218.60.56/~jnz1568/getInfo.php?workbook=16_14.xlsx&amp;sheet=A0&amp;row=260&amp;col=6&amp;number=3724300&amp;sourceID=48","3724300")</f>
        <v>3724300</v>
      </c>
      <c r="G260" s="4" t="str">
        <f>HYPERLINK("http://141.218.60.56/~jnz1568/getInfo.php?workbook=16_14.xlsx&amp;sheet=A0&amp;row=260&amp;col=7&amp;number=&amp;sourceID=48","")</f>
        <v/>
      </c>
      <c r="H260" s="4" t="str">
        <f>HYPERLINK("http://141.218.60.56/~jnz1568/getInfo.php?workbook=16_14.xlsx&amp;sheet=A0&amp;row=260&amp;col=8&amp;number=&amp;sourceID=48","")</f>
        <v/>
      </c>
      <c r="I260" s="4" t="str">
        <f>HYPERLINK("http://141.218.60.56/~jnz1568/getInfo.php?workbook=16_14.xlsx&amp;sheet=A0&amp;row=260&amp;col=9&amp;number=&amp;sourceID=48","")</f>
        <v/>
      </c>
      <c r="J260" s="4" t="str">
        <f>HYPERLINK("http://141.218.60.56/~jnz1568/getInfo.php?workbook=16_14.xlsx&amp;sheet=A0&amp;row=260&amp;col=10&amp;number=&amp;sourceID=49","")</f>
        <v/>
      </c>
      <c r="K260" s="4" t="str">
        <f>HYPERLINK("http://141.218.60.56/~jnz1568/getInfo.php?workbook=16_14.xlsx&amp;sheet=A0&amp;row=260&amp;col=11&amp;number=&amp;sourceID=49","")</f>
        <v/>
      </c>
    </row>
    <row r="261" spans="1:11">
      <c r="A261" s="3">
        <v>16</v>
      </c>
      <c r="B261" s="3">
        <v>14</v>
      </c>
      <c r="C261" s="3">
        <v>39</v>
      </c>
      <c r="D261" s="3">
        <v>26</v>
      </c>
      <c r="E261" s="3">
        <f>((1/(INDEX(E0!J$4:J$47,C261,1)-INDEX(E0!J$4:J$47,D261,1))))*100000000</f>
        <v>0</v>
      </c>
      <c r="F261" s="4" t="str">
        <f>HYPERLINK("http://141.218.60.56/~jnz1568/getInfo.php?workbook=16_14.xlsx&amp;sheet=A0&amp;row=261&amp;col=6&amp;number=11658000&amp;sourceID=48","11658000")</f>
        <v>11658000</v>
      </c>
      <c r="G261" s="4" t="str">
        <f>HYPERLINK("http://141.218.60.56/~jnz1568/getInfo.php?workbook=16_14.xlsx&amp;sheet=A0&amp;row=261&amp;col=7&amp;number=&amp;sourceID=48","")</f>
        <v/>
      </c>
      <c r="H261" s="4" t="str">
        <f>HYPERLINK("http://141.218.60.56/~jnz1568/getInfo.php?workbook=16_14.xlsx&amp;sheet=A0&amp;row=261&amp;col=8&amp;number=&amp;sourceID=48","")</f>
        <v/>
      </c>
      <c r="I261" s="4" t="str">
        <f>HYPERLINK("http://141.218.60.56/~jnz1568/getInfo.php?workbook=16_14.xlsx&amp;sheet=A0&amp;row=261&amp;col=9&amp;number=&amp;sourceID=48","")</f>
        <v/>
      </c>
      <c r="J261" s="4" t="str">
        <f>HYPERLINK("http://141.218.60.56/~jnz1568/getInfo.php?workbook=16_14.xlsx&amp;sheet=A0&amp;row=261&amp;col=10&amp;number=&amp;sourceID=49","")</f>
        <v/>
      </c>
      <c r="K261" s="4" t="str">
        <f>HYPERLINK("http://141.218.60.56/~jnz1568/getInfo.php?workbook=16_14.xlsx&amp;sheet=A0&amp;row=261&amp;col=11&amp;number=&amp;sourceID=49","")</f>
        <v/>
      </c>
    </row>
    <row r="262" spans="1:11">
      <c r="A262" s="3">
        <v>16</v>
      </c>
      <c r="B262" s="3">
        <v>14</v>
      </c>
      <c r="C262" s="3">
        <v>39</v>
      </c>
      <c r="D262" s="3">
        <v>28</v>
      </c>
      <c r="E262" s="3">
        <f>((1/(INDEX(E0!J$4:J$47,C262,1)-INDEX(E0!J$4:J$47,D262,1))))*100000000</f>
        <v>0</v>
      </c>
      <c r="F262" s="4" t="str">
        <f>HYPERLINK("http://141.218.60.56/~jnz1568/getInfo.php?workbook=16_14.xlsx&amp;sheet=A0&amp;row=262&amp;col=6&amp;number=5474500&amp;sourceID=48","5474500")</f>
        <v>5474500</v>
      </c>
      <c r="G262" s="4" t="str">
        <f>HYPERLINK("http://141.218.60.56/~jnz1568/getInfo.php?workbook=16_14.xlsx&amp;sheet=A0&amp;row=262&amp;col=7&amp;number=&amp;sourceID=48","")</f>
        <v/>
      </c>
      <c r="H262" s="4" t="str">
        <f>HYPERLINK("http://141.218.60.56/~jnz1568/getInfo.php?workbook=16_14.xlsx&amp;sheet=A0&amp;row=262&amp;col=8&amp;number=&amp;sourceID=48","")</f>
        <v/>
      </c>
      <c r="I262" s="4" t="str">
        <f>HYPERLINK("http://141.218.60.56/~jnz1568/getInfo.php?workbook=16_14.xlsx&amp;sheet=A0&amp;row=262&amp;col=9&amp;number=&amp;sourceID=48","")</f>
        <v/>
      </c>
      <c r="J262" s="4" t="str">
        <f>HYPERLINK("http://141.218.60.56/~jnz1568/getInfo.php?workbook=16_14.xlsx&amp;sheet=A0&amp;row=262&amp;col=10&amp;number=&amp;sourceID=49","")</f>
        <v/>
      </c>
      <c r="K262" s="4" t="str">
        <f>HYPERLINK("http://141.218.60.56/~jnz1568/getInfo.php?workbook=16_14.xlsx&amp;sheet=A0&amp;row=262&amp;col=11&amp;number=&amp;sourceID=49","")</f>
        <v/>
      </c>
    </row>
    <row r="263" spans="1:11">
      <c r="A263" s="3">
        <v>16</v>
      </c>
      <c r="B263" s="3">
        <v>14</v>
      </c>
      <c r="C263" s="3">
        <v>39</v>
      </c>
      <c r="D263" s="3">
        <v>29</v>
      </c>
      <c r="E263" s="3">
        <f>((1/(INDEX(E0!J$4:J$47,C263,1)-INDEX(E0!J$4:J$47,D263,1))))*100000000</f>
        <v>0</v>
      </c>
      <c r="F263" s="4" t="str">
        <f>HYPERLINK("http://141.218.60.56/~jnz1568/getInfo.php?workbook=16_14.xlsx&amp;sheet=A0&amp;row=263&amp;col=6&amp;number=82270&amp;sourceID=48","82270")</f>
        <v>82270</v>
      </c>
      <c r="G263" s="4" t="str">
        <f>HYPERLINK("http://141.218.60.56/~jnz1568/getInfo.php?workbook=16_14.xlsx&amp;sheet=A0&amp;row=263&amp;col=7&amp;number=&amp;sourceID=48","")</f>
        <v/>
      </c>
      <c r="H263" s="4" t="str">
        <f>HYPERLINK("http://141.218.60.56/~jnz1568/getInfo.php?workbook=16_14.xlsx&amp;sheet=A0&amp;row=263&amp;col=8&amp;number=&amp;sourceID=48","")</f>
        <v/>
      </c>
      <c r="I263" s="4" t="str">
        <f>HYPERLINK("http://141.218.60.56/~jnz1568/getInfo.php?workbook=16_14.xlsx&amp;sheet=A0&amp;row=263&amp;col=9&amp;number=&amp;sourceID=48","")</f>
        <v/>
      </c>
      <c r="J263" s="4" t="str">
        <f>HYPERLINK("http://141.218.60.56/~jnz1568/getInfo.php?workbook=16_14.xlsx&amp;sheet=A0&amp;row=263&amp;col=10&amp;number=&amp;sourceID=49","")</f>
        <v/>
      </c>
      <c r="K263" s="4" t="str">
        <f>HYPERLINK("http://141.218.60.56/~jnz1568/getInfo.php?workbook=16_14.xlsx&amp;sheet=A0&amp;row=263&amp;col=11&amp;number=&amp;sourceID=49","")</f>
        <v/>
      </c>
    </row>
    <row r="264" spans="1:11">
      <c r="A264" s="3">
        <v>16</v>
      </c>
      <c r="B264" s="3">
        <v>14</v>
      </c>
      <c r="C264" s="3">
        <v>39</v>
      </c>
      <c r="D264" s="3">
        <v>31</v>
      </c>
      <c r="E264" s="3">
        <f>((1/(INDEX(E0!J$4:J$47,C264,1)-INDEX(E0!J$4:J$47,D264,1))))*100000000</f>
        <v>0</v>
      </c>
      <c r="F264" s="4" t="str">
        <f>HYPERLINK("http://141.218.60.56/~jnz1568/getInfo.php?workbook=16_14.xlsx&amp;sheet=A0&amp;row=264&amp;col=6&amp;number=172.71&amp;sourceID=48","172.71")</f>
        <v>172.71</v>
      </c>
      <c r="G264" s="4" t="str">
        <f>HYPERLINK("http://141.218.60.56/~jnz1568/getInfo.php?workbook=16_14.xlsx&amp;sheet=A0&amp;row=264&amp;col=7&amp;number=&amp;sourceID=48","")</f>
        <v/>
      </c>
      <c r="H264" s="4" t="str">
        <f>HYPERLINK("http://141.218.60.56/~jnz1568/getInfo.php?workbook=16_14.xlsx&amp;sheet=A0&amp;row=264&amp;col=8&amp;number=&amp;sourceID=48","")</f>
        <v/>
      </c>
      <c r="I264" s="4" t="str">
        <f>HYPERLINK("http://141.218.60.56/~jnz1568/getInfo.php?workbook=16_14.xlsx&amp;sheet=A0&amp;row=264&amp;col=9&amp;number=&amp;sourceID=48","")</f>
        <v/>
      </c>
      <c r="J264" s="4" t="str">
        <f>HYPERLINK("http://141.218.60.56/~jnz1568/getInfo.php?workbook=16_14.xlsx&amp;sheet=A0&amp;row=264&amp;col=10&amp;number=&amp;sourceID=49","")</f>
        <v/>
      </c>
      <c r="K264" s="4" t="str">
        <f>HYPERLINK("http://141.218.60.56/~jnz1568/getInfo.php?workbook=16_14.xlsx&amp;sheet=A0&amp;row=264&amp;col=11&amp;number=&amp;sourceID=49","")</f>
        <v/>
      </c>
    </row>
    <row r="265" spans="1:11">
      <c r="A265" s="3">
        <v>16</v>
      </c>
      <c r="B265" s="3">
        <v>14</v>
      </c>
      <c r="C265" s="3">
        <v>40</v>
      </c>
      <c r="D265" s="3">
        <v>6</v>
      </c>
      <c r="E265" s="3">
        <f>((1/(INDEX(E0!J$4:J$47,C265,1)-INDEX(E0!J$4:J$47,D265,1))))*100000000</f>
        <v>0</v>
      </c>
      <c r="F265" s="4" t="str">
        <f>HYPERLINK("http://141.218.60.56/~jnz1568/getInfo.php?workbook=16_14.xlsx&amp;sheet=A0&amp;row=265&amp;col=6&amp;number=8.5818&amp;sourceID=48","8.5818")</f>
        <v>8.5818</v>
      </c>
      <c r="G265" s="4" t="str">
        <f>HYPERLINK("http://141.218.60.56/~jnz1568/getInfo.php?workbook=16_14.xlsx&amp;sheet=A0&amp;row=265&amp;col=7&amp;number=&amp;sourceID=48","")</f>
        <v/>
      </c>
      <c r="H265" s="4" t="str">
        <f>HYPERLINK("http://141.218.60.56/~jnz1568/getInfo.php?workbook=16_14.xlsx&amp;sheet=A0&amp;row=265&amp;col=8&amp;number=&amp;sourceID=48","")</f>
        <v/>
      </c>
      <c r="I265" s="4" t="str">
        <f>HYPERLINK("http://141.218.60.56/~jnz1568/getInfo.php?workbook=16_14.xlsx&amp;sheet=A0&amp;row=265&amp;col=9&amp;number=&amp;sourceID=48","")</f>
        <v/>
      </c>
      <c r="J265" s="4" t="str">
        <f>HYPERLINK("http://141.218.60.56/~jnz1568/getInfo.php?workbook=16_14.xlsx&amp;sheet=A0&amp;row=265&amp;col=10&amp;number=&amp;sourceID=49","")</f>
        <v/>
      </c>
      <c r="K265" s="4" t="str">
        <f>HYPERLINK("http://141.218.60.56/~jnz1568/getInfo.php?workbook=16_14.xlsx&amp;sheet=A0&amp;row=265&amp;col=11&amp;number=&amp;sourceID=49","")</f>
        <v/>
      </c>
    </row>
    <row r="266" spans="1:11">
      <c r="A266" s="3">
        <v>16</v>
      </c>
      <c r="B266" s="3">
        <v>14</v>
      </c>
      <c r="C266" s="3">
        <v>40</v>
      </c>
      <c r="D266" s="3">
        <v>7</v>
      </c>
      <c r="E266" s="3">
        <f>((1/(INDEX(E0!J$4:J$47,C266,1)-INDEX(E0!J$4:J$47,D266,1))))*100000000</f>
        <v>0</v>
      </c>
      <c r="F266" s="4" t="str">
        <f>HYPERLINK("http://141.218.60.56/~jnz1568/getInfo.php?workbook=16_14.xlsx&amp;sheet=A0&amp;row=266&amp;col=6&amp;number=325.51&amp;sourceID=48","325.51")</f>
        <v>325.51</v>
      </c>
      <c r="G266" s="4" t="str">
        <f>HYPERLINK("http://141.218.60.56/~jnz1568/getInfo.php?workbook=16_14.xlsx&amp;sheet=A0&amp;row=266&amp;col=7&amp;number=&amp;sourceID=48","")</f>
        <v/>
      </c>
      <c r="H266" s="4" t="str">
        <f>HYPERLINK("http://141.218.60.56/~jnz1568/getInfo.php?workbook=16_14.xlsx&amp;sheet=A0&amp;row=266&amp;col=8&amp;number=&amp;sourceID=48","")</f>
        <v/>
      </c>
      <c r="I266" s="4" t="str">
        <f>HYPERLINK("http://141.218.60.56/~jnz1568/getInfo.php?workbook=16_14.xlsx&amp;sheet=A0&amp;row=266&amp;col=9&amp;number=&amp;sourceID=48","")</f>
        <v/>
      </c>
      <c r="J266" s="4" t="str">
        <f>HYPERLINK("http://141.218.60.56/~jnz1568/getInfo.php?workbook=16_14.xlsx&amp;sheet=A0&amp;row=266&amp;col=10&amp;number=&amp;sourceID=49","")</f>
        <v/>
      </c>
      <c r="K266" s="4" t="str">
        <f>HYPERLINK("http://141.218.60.56/~jnz1568/getInfo.php?workbook=16_14.xlsx&amp;sheet=A0&amp;row=266&amp;col=11&amp;number=&amp;sourceID=49","")</f>
        <v/>
      </c>
    </row>
    <row r="267" spans="1:11">
      <c r="A267" s="3">
        <v>16</v>
      </c>
      <c r="B267" s="3">
        <v>14</v>
      </c>
      <c r="C267" s="3">
        <v>40</v>
      </c>
      <c r="D267" s="3">
        <v>8</v>
      </c>
      <c r="E267" s="3">
        <f>((1/(INDEX(E0!J$4:J$47,C267,1)-INDEX(E0!J$4:J$47,D267,1))))*100000000</f>
        <v>0</v>
      </c>
      <c r="F267" s="4" t="str">
        <f>HYPERLINK("http://141.218.60.56/~jnz1568/getInfo.php?workbook=16_14.xlsx&amp;sheet=A0&amp;row=267&amp;col=6&amp;number=41.865&amp;sourceID=48","41.865")</f>
        <v>41.865</v>
      </c>
      <c r="G267" s="4" t="str">
        <f>HYPERLINK("http://141.218.60.56/~jnz1568/getInfo.php?workbook=16_14.xlsx&amp;sheet=A0&amp;row=267&amp;col=7&amp;number=&amp;sourceID=48","")</f>
        <v/>
      </c>
      <c r="H267" s="4" t="str">
        <f>HYPERLINK("http://141.218.60.56/~jnz1568/getInfo.php?workbook=16_14.xlsx&amp;sheet=A0&amp;row=267&amp;col=8&amp;number=&amp;sourceID=48","")</f>
        <v/>
      </c>
      <c r="I267" s="4" t="str">
        <f>HYPERLINK("http://141.218.60.56/~jnz1568/getInfo.php?workbook=16_14.xlsx&amp;sheet=A0&amp;row=267&amp;col=9&amp;number=&amp;sourceID=48","")</f>
        <v/>
      </c>
      <c r="J267" s="4" t="str">
        <f>HYPERLINK("http://141.218.60.56/~jnz1568/getInfo.php?workbook=16_14.xlsx&amp;sheet=A0&amp;row=267&amp;col=10&amp;number=&amp;sourceID=49","")</f>
        <v/>
      </c>
      <c r="K267" s="4" t="str">
        <f>HYPERLINK("http://141.218.60.56/~jnz1568/getInfo.php?workbook=16_14.xlsx&amp;sheet=A0&amp;row=267&amp;col=11&amp;number=&amp;sourceID=49","")</f>
        <v/>
      </c>
    </row>
    <row r="268" spans="1:11">
      <c r="A268" s="3">
        <v>16</v>
      </c>
      <c r="B268" s="3">
        <v>14</v>
      </c>
      <c r="C268" s="3">
        <v>40</v>
      </c>
      <c r="D268" s="3">
        <v>9</v>
      </c>
      <c r="E268" s="3">
        <f>((1/(INDEX(E0!J$4:J$47,C268,1)-INDEX(E0!J$4:J$47,D268,1))))*100000000</f>
        <v>0</v>
      </c>
      <c r="F268" s="4" t="str">
        <f>HYPERLINK("http://141.218.60.56/~jnz1568/getInfo.php?workbook=16_14.xlsx&amp;sheet=A0&amp;row=268&amp;col=6&amp;number=408350&amp;sourceID=48","408350")</f>
        <v>408350</v>
      </c>
      <c r="G268" s="4" t="str">
        <f>HYPERLINK("http://141.218.60.56/~jnz1568/getInfo.php?workbook=16_14.xlsx&amp;sheet=A0&amp;row=268&amp;col=7&amp;number=&amp;sourceID=48","")</f>
        <v/>
      </c>
      <c r="H268" s="4" t="str">
        <f>HYPERLINK("http://141.218.60.56/~jnz1568/getInfo.php?workbook=16_14.xlsx&amp;sheet=A0&amp;row=268&amp;col=8&amp;number=&amp;sourceID=48","")</f>
        <v/>
      </c>
      <c r="I268" s="4" t="str">
        <f>HYPERLINK("http://141.218.60.56/~jnz1568/getInfo.php?workbook=16_14.xlsx&amp;sheet=A0&amp;row=268&amp;col=9&amp;number=&amp;sourceID=48","")</f>
        <v/>
      </c>
      <c r="J268" s="4" t="str">
        <f>HYPERLINK("http://141.218.60.56/~jnz1568/getInfo.php?workbook=16_14.xlsx&amp;sheet=A0&amp;row=268&amp;col=10&amp;number=&amp;sourceID=49","")</f>
        <v/>
      </c>
      <c r="K268" s="4" t="str">
        <f>HYPERLINK("http://141.218.60.56/~jnz1568/getInfo.php?workbook=16_14.xlsx&amp;sheet=A0&amp;row=268&amp;col=11&amp;number=&amp;sourceID=49","")</f>
        <v/>
      </c>
    </row>
    <row r="269" spans="1:11">
      <c r="A269" s="3">
        <v>16</v>
      </c>
      <c r="B269" s="3">
        <v>14</v>
      </c>
      <c r="C269" s="3">
        <v>40</v>
      </c>
      <c r="D269" s="3">
        <v>10</v>
      </c>
      <c r="E269" s="3">
        <f>((1/(INDEX(E0!J$4:J$47,C269,1)-INDEX(E0!J$4:J$47,D269,1))))*100000000</f>
        <v>0</v>
      </c>
      <c r="F269" s="4" t="str">
        <f>HYPERLINK("http://141.218.60.56/~jnz1568/getInfo.php?workbook=16_14.xlsx&amp;sheet=A0&amp;row=269&amp;col=6&amp;number=28677&amp;sourceID=48","28677")</f>
        <v>28677</v>
      </c>
      <c r="G269" s="4" t="str">
        <f>HYPERLINK("http://141.218.60.56/~jnz1568/getInfo.php?workbook=16_14.xlsx&amp;sheet=A0&amp;row=269&amp;col=7&amp;number=&amp;sourceID=48","")</f>
        <v/>
      </c>
      <c r="H269" s="4" t="str">
        <f>HYPERLINK("http://141.218.60.56/~jnz1568/getInfo.php?workbook=16_14.xlsx&amp;sheet=A0&amp;row=269&amp;col=8&amp;number=&amp;sourceID=48","")</f>
        <v/>
      </c>
      <c r="I269" s="4" t="str">
        <f>HYPERLINK("http://141.218.60.56/~jnz1568/getInfo.php?workbook=16_14.xlsx&amp;sheet=A0&amp;row=269&amp;col=9&amp;number=&amp;sourceID=48","")</f>
        <v/>
      </c>
      <c r="J269" s="4" t="str">
        <f>HYPERLINK("http://141.218.60.56/~jnz1568/getInfo.php?workbook=16_14.xlsx&amp;sheet=A0&amp;row=269&amp;col=10&amp;number=&amp;sourceID=49","")</f>
        <v/>
      </c>
      <c r="K269" s="4" t="str">
        <f>HYPERLINK("http://141.218.60.56/~jnz1568/getInfo.php?workbook=16_14.xlsx&amp;sheet=A0&amp;row=269&amp;col=11&amp;number=&amp;sourceID=49","")</f>
        <v/>
      </c>
    </row>
    <row r="270" spans="1:11">
      <c r="A270" s="3">
        <v>16</v>
      </c>
      <c r="B270" s="3">
        <v>14</v>
      </c>
      <c r="C270" s="3">
        <v>40</v>
      </c>
      <c r="D270" s="3">
        <v>11</v>
      </c>
      <c r="E270" s="3">
        <f>((1/(INDEX(E0!J$4:J$47,C270,1)-INDEX(E0!J$4:J$47,D270,1))))*100000000</f>
        <v>0</v>
      </c>
      <c r="F270" s="4" t="str">
        <f>HYPERLINK("http://141.218.60.56/~jnz1568/getInfo.php?workbook=16_14.xlsx&amp;sheet=A0&amp;row=270&amp;col=6&amp;number=4825.4&amp;sourceID=48","4825.4")</f>
        <v>4825.4</v>
      </c>
      <c r="G270" s="4" t="str">
        <f>HYPERLINK("http://141.218.60.56/~jnz1568/getInfo.php?workbook=16_14.xlsx&amp;sheet=A0&amp;row=270&amp;col=7&amp;number=&amp;sourceID=48","")</f>
        <v/>
      </c>
      <c r="H270" s="4" t="str">
        <f>HYPERLINK("http://141.218.60.56/~jnz1568/getInfo.php?workbook=16_14.xlsx&amp;sheet=A0&amp;row=270&amp;col=8&amp;number=&amp;sourceID=48","")</f>
        <v/>
      </c>
      <c r="I270" s="4" t="str">
        <f>HYPERLINK("http://141.218.60.56/~jnz1568/getInfo.php?workbook=16_14.xlsx&amp;sheet=A0&amp;row=270&amp;col=9&amp;number=&amp;sourceID=48","")</f>
        <v/>
      </c>
      <c r="J270" s="4" t="str">
        <f>HYPERLINK("http://141.218.60.56/~jnz1568/getInfo.php?workbook=16_14.xlsx&amp;sheet=A0&amp;row=270&amp;col=10&amp;number=&amp;sourceID=49","")</f>
        <v/>
      </c>
      <c r="K270" s="4" t="str">
        <f>HYPERLINK("http://141.218.60.56/~jnz1568/getInfo.php?workbook=16_14.xlsx&amp;sheet=A0&amp;row=270&amp;col=11&amp;number=&amp;sourceID=49","")</f>
        <v/>
      </c>
    </row>
    <row r="271" spans="1:11">
      <c r="A271" s="3">
        <v>16</v>
      </c>
      <c r="B271" s="3">
        <v>14</v>
      </c>
      <c r="C271" s="3">
        <v>40</v>
      </c>
      <c r="D271" s="3">
        <v>13</v>
      </c>
      <c r="E271" s="3">
        <f>((1/(INDEX(E0!J$4:J$47,C271,1)-INDEX(E0!J$4:J$47,D271,1))))*100000000</f>
        <v>0</v>
      </c>
      <c r="F271" s="4" t="str">
        <f>HYPERLINK("http://141.218.60.56/~jnz1568/getInfo.php?workbook=16_14.xlsx&amp;sheet=A0&amp;row=271&amp;col=6&amp;number=98691000&amp;sourceID=48","98691000")</f>
        <v>98691000</v>
      </c>
      <c r="G271" s="4" t="str">
        <f>HYPERLINK("http://141.218.60.56/~jnz1568/getInfo.php?workbook=16_14.xlsx&amp;sheet=A0&amp;row=271&amp;col=7&amp;number=&amp;sourceID=48","")</f>
        <v/>
      </c>
      <c r="H271" s="4" t="str">
        <f>HYPERLINK("http://141.218.60.56/~jnz1568/getInfo.php?workbook=16_14.xlsx&amp;sheet=A0&amp;row=271&amp;col=8&amp;number=&amp;sourceID=48","")</f>
        <v/>
      </c>
      <c r="I271" s="4" t="str">
        <f>HYPERLINK("http://141.218.60.56/~jnz1568/getInfo.php?workbook=16_14.xlsx&amp;sheet=A0&amp;row=271&amp;col=9&amp;number=&amp;sourceID=48","")</f>
        <v/>
      </c>
      <c r="J271" s="4" t="str">
        <f>HYPERLINK("http://141.218.60.56/~jnz1568/getInfo.php?workbook=16_14.xlsx&amp;sheet=A0&amp;row=271&amp;col=10&amp;number=&amp;sourceID=49","")</f>
        <v/>
      </c>
      <c r="K271" s="4" t="str">
        <f>HYPERLINK("http://141.218.60.56/~jnz1568/getInfo.php?workbook=16_14.xlsx&amp;sheet=A0&amp;row=271&amp;col=11&amp;number=&amp;sourceID=49","")</f>
        <v/>
      </c>
    </row>
    <row r="272" spans="1:11">
      <c r="A272" s="3">
        <v>16</v>
      </c>
      <c r="B272" s="3">
        <v>14</v>
      </c>
      <c r="C272" s="3">
        <v>40</v>
      </c>
      <c r="D272" s="3">
        <v>13</v>
      </c>
      <c r="E272" s="3">
        <f>((1/(INDEX(E0!J$4:J$47,C272,1)-INDEX(E0!J$4:J$47,D272,1))))*100000000</f>
        <v>0</v>
      </c>
      <c r="F272" s="4" t="str">
        <f>HYPERLINK("http://141.218.60.56/~jnz1568/getInfo.php?workbook=16_14.xlsx&amp;sheet=A0&amp;row=272&amp;col=6&amp;number=98691000&amp;sourceID=48","98691000")</f>
        <v>98691000</v>
      </c>
      <c r="G272" s="4" t="str">
        <f>HYPERLINK("http://141.218.60.56/~jnz1568/getInfo.php?workbook=16_14.xlsx&amp;sheet=A0&amp;row=272&amp;col=7&amp;number=&amp;sourceID=48","")</f>
        <v/>
      </c>
      <c r="H272" s="4" t="str">
        <f>HYPERLINK("http://141.218.60.56/~jnz1568/getInfo.php?workbook=16_14.xlsx&amp;sheet=A0&amp;row=272&amp;col=8&amp;number=&amp;sourceID=48","")</f>
        <v/>
      </c>
      <c r="I272" s="4" t="str">
        <f>HYPERLINK("http://141.218.60.56/~jnz1568/getInfo.php?workbook=16_14.xlsx&amp;sheet=A0&amp;row=272&amp;col=9&amp;number=&amp;sourceID=48","")</f>
        <v/>
      </c>
      <c r="J272" s="4" t="str">
        <f>HYPERLINK("http://141.218.60.56/~jnz1568/getInfo.php?workbook=16_14.xlsx&amp;sheet=A0&amp;row=272&amp;col=10&amp;number=&amp;sourceID=49","")</f>
        <v/>
      </c>
      <c r="K272" s="4" t="str">
        <f>HYPERLINK("http://141.218.60.56/~jnz1568/getInfo.php?workbook=16_14.xlsx&amp;sheet=A0&amp;row=272&amp;col=11&amp;number=&amp;sourceID=49","")</f>
        <v/>
      </c>
    </row>
    <row r="273" spans="1:11">
      <c r="A273" s="3">
        <v>16</v>
      </c>
      <c r="B273" s="3">
        <v>14</v>
      </c>
      <c r="C273" s="3">
        <v>40</v>
      </c>
      <c r="D273" s="3">
        <v>14</v>
      </c>
      <c r="E273" s="3">
        <f>((1/(INDEX(E0!J$4:J$47,C273,1)-INDEX(E0!J$4:J$47,D273,1))))*100000000</f>
        <v>0</v>
      </c>
      <c r="F273" s="4" t="str">
        <f>HYPERLINK("http://141.218.60.56/~jnz1568/getInfo.php?workbook=16_14.xlsx&amp;sheet=A0&amp;row=273&amp;col=6&amp;number=98021&amp;sourceID=48","98021")</f>
        <v>98021</v>
      </c>
      <c r="G273" s="4" t="str">
        <f>HYPERLINK("http://141.218.60.56/~jnz1568/getInfo.php?workbook=16_14.xlsx&amp;sheet=A0&amp;row=273&amp;col=7&amp;number=&amp;sourceID=48","")</f>
        <v/>
      </c>
      <c r="H273" s="4" t="str">
        <f>HYPERLINK("http://141.218.60.56/~jnz1568/getInfo.php?workbook=16_14.xlsx&amp;sheet=A0&amp;row=273&amp;col=8&amp;number=&amp;sourceID=48","")</f>
        <v/>
      </c>
      <c r="I273" s="4" t="str">
        <f>HYPERLINK("http://141.218.60.56/~jnz1568/getInfo.php?workbook=16_14.xlsx&amp;sheet=A0&amp;row=273&amp;col=9&amp;number=&amp;sourceID=48","")</f>
        <v/>
      </c>
      <c r="J273" s="4" t="str">
        <f>HYPERLINK("http://141.218.60.56/~jnz1568/getInfo.php?workbook=16_14.xlsx&amp;sheet=A0&amp;row=273&amp;col=10&amp;number=&amp;sourceID=49","")</f>
        <v/>
      </c>
      <c r="K273" s="4" t="str">
        <f>HYPERLINK("http://141.218.60.56/~jnz1568/getInfo.php?workbook=16_14.xlsx&amp;sheet=A0&amp;row=273&amp;col=11&amp;number=&amp;sourceID=49","")</f>
        <v/>
      </c>
    </row>
    <row r="274" spans="1:11">
      <c r="A274" s="3">
        <v>16</v>
      </c>
      <c r="B274" s="3">
        <v>14</v>
      </c>
      <c r="C274" s="3">
        <v>40</v>
      </c>
      <c r="D274" s="3">
        <v>15</v>
      </c>
      <c r="E274" s="3">
        <f>((1/(INDEX(E0!J$4:J$47,C274,1)-INDEX(E0!J$4:J$47,D274,1))))*100000000</f>
        <v>0</v>
      </c>
      <c r="F274" s="4" t="str">
        <f>HYPERLINK("http://141.218.60.56/~jnz1568/getInfo.php?workbook=16_14.xlsx&amp;sheet=A0&amp;row=274&amp;col=6&amp;number=343140&amp;sourceID=48","343140")</f>
        <v>343140</v>
      </c>
      <c r="G274" s="4" t="str">
        <f>HYPERLINK("http://141.218.60.56/~jnz1568/getInfo.php?workbook=16_14.xlsx&amp;sheet=A0&amp;row=274&amp;col=7&amp;number=&amp;sourceID=48","")</f>
        <v/>
      </c>
      <c r="H274" s="4" t="str">
        <f>HYPERLINK("http://141.218.60.56/~jnz1568/getInfo.php?workbook=16_14.xlsx&amp;sheet=A0&amp;row=274&amp;col=8&amp;number=&amp;sourceID=48","")</f>
        <v/>
      </c>
      <c r="I274" s="4" t="str">
        <f>HYPERLINK("http://141.218.60.56/~jnz1568/getInfo.php?workbook=16_14.xlsx&amp;sheet=A0&amp;row=274&amp;col=9&amp;number=&amp;sourceID=48","")</f>
        <v/>
      </c>
      <c r="J274" s="4" t="str">
        <f>HYPERLINK("http://141.218.60.56/~jnz1568/getInfo.php?workbook=16_14.xlsx&amp;sheet=A0&amp;row=274&amp;col=10&amp;number=&amp;sourceID=49","")</f>
        <v/>
      </c>
      <c r="K274" s="4" t="str">
        <f>HYPERLINK("http://141.218.60.56/~jnz1568/getInfo.php?workbook=16_14.xlsx&amp;sheet=A0&amp;row=274&amp;col=11&amp;number=&amp;sourceID=49","")</f>
        <v/>
      </c>
    </row>
    <row r="275" spans="1:11">
      <c r="A275" s="3">
        <v>16</v>
      </c>
      <c r="B275" s="3">
        <v>14</v>
      </c>
      <c r="C275" s="3">
        <v>40</v>
      </c>
      <c r="D275" s="3">
        <v>17</v>
      </c>
      <c r="E275" s="3">
        <f>((1/(INDEX(E0!J$4:J$47,C275,1)-INDEX(E0!J$4:J$47,D275,1))))*100000000</f>
        <v>0</v>
      </c>
      <c r="F275" s="4" t="str">
        <f>HYPERLINK("http://141.218.60.56/~jnz1568/getInfo.php?workbook=16_14.xlsx&amp;sheet=A0&amp;row=275&amp;col=6&amp;number=17293000&amp;sourceID=48","17293000")</f>
        <v>17293000</v>
      </c>
      <c r="G275" s="4" t="str">
        <f>HYPERLINK("http://141.218.60.56/~jnz1568/getInfo.php?workbook=16_14.xlsx&amp;sheet=A0&amp;row=275&amp;col=7&amp;number=&amp;sourceID=48","")</f>
        <v/>
      </c>
      <c r="H275" s="4" t="str">
        <f>HYPERLINK("http://141.218.60.56/~jnz1568/getInfo.php?workbook=16_14.xlsx&amp;sheet=A0&amp;row=275&amp;col=8&amp;number=&amp;sourceID=48","")</f>
        <v/>
      </c>
      <c r="I275" s="4" t="str">
        <f>HYPERLINK("http://141.218.60.56/~jnz1568/getInfo.php?workbook=16_14.xlsx&amp;sheet=A0&amp;row=275&amp;col=9&amp;number=&amp;sourceID=48","")</f>
        <v/>
      </c>
      <c r="J275" s="4" t="str">
        <f>HYPERLINK("http://141.218.60.56/~jnz1568/getInfo.php?workbook=16_14.xlsx&amp;sheet=A0&amp;row=275&amp;col=10&amp;number=&amp;sourceID=49","")</f>
        <v/>
      </c>
      <c r="K275" s="4" t="str">
        <f>HYPERLINK("http://141.218.60.56/~jnz1568/getInfo.php?workbook=16_14.xlsx&amp;sheet=A0&amp;row=275&amp;col=11&amp;number=&amp;sourceID=49","")</f>
        <v/>
      </c>
    </row>
    <row r="276" spans="1:11">
      <c r="A276" s="3">
        <v>16</v>
      </c>
      <c r="B276" s="3">
        <v>14</v>
      </c>
      <c r="C276" s="3">
        <v>40</v>
      </c>
      <c r="D276" s="3">
        <v>17</v>
      </c>
      <c r="E276" s="3">
        <f>((1/(INDEX(E0!J$4:J$47,C276,1)-INDEX(E0!J$4:J$47,D276,1))))*100000000</f>
        <v>0</v>
      </c>
      <c r="F276" s="4" t="str">
        <f>HYPERLINK("http://141.218.60.56/~jnz1568/getInfo.php?workbook=16_14.xlsx&amp;sheet=A0&amp;row=276&amp;col=6&amp;number=17293000&amp;sourceID=48","17293000")</f>
        <v>17293000</v>
      </c>
      <c r="G276" s="4" t="str">
        <f>HYPERLINK("http://141.218.60.56/~jnz1568/getInfo.php?workbook=16_14.xlsx&amp;sheet=A0&amp;row=276&amp;col=7&amp;number=&amp;sourceID=48","")</f>
        <v/>
      </c>
      <c r="H276" s="4" t="str">
        <f>HYPERLINK("http://141.218.60.56/~jnz1568/getInfo.php?workbook=16_14.xlsx&amp;sheet=A0&amp;row=276&amp;col=8&amp;number=&amp;sourceID=48","")</f>
        <v/>
      </c>
      <c r="I276" s="4" t="str">
        <f>HYPERLINK("http://141.218.60.56/~jnz1568/getInfo.php?workbook=16_14.xlsx&amp;sheet=A0&amp;row=276&amp;col=9&amp;number=&amp;sourceID=48","")</f>
        <v/>
      </c>
      <c r="J276" s="4" t="str">
        <f>HYPERLINK("http://141.218.60.56/~jnz1568/getInfo.php?workbook=16_14.xlsx&amp;sheet=A0&amp;row=276&amp;col=10&amp;number=&amp;sourceID=49","")</f>
        <v/>
      </c>
      <c r="K276" s="4" t="str">
        <f>HYPERLINK("http://141.218.60.56/~jnz1568/getInfo.php?workbook=16_14.xlsx&amp;sheet=A0&amp;row=276&amp;col=11&amp;number=&amp;sourceID=49","")</f>
        <v/>
      </c>
    </row>
    <row r="277" spans="1:11">
      <c r="A277" s="3">
        <v>16</v>
      </c>
      <c r="B277" s="3">
        <v>14</v>
      </c>
      <c r="C277" s="3">
        <v>40</v>
      </c>
      <c r="D277" s="3">
        <v>18</v>
      </c>
      <c r="E277" s="3">
        <f>((1/(INDEX(E0!J$4:J$47,C277,1)-INDEX(E0!J$4:J$47,D277,1))))*100000000</f>
        <v>0</v>
      </c>
      <c r="F277" s="4" t="str">
        <f>HYPERLINK("http://141.218.60.56/~jnz1568/getInfo.php?workbook=16_14.xlsx&amp;sheet=A0&amp;row=277&amp;col=6&amp;number=430080&amp;sourceID=48","430080")</f>
        <v>430080</v>
      </c>
      <c r="G277" s="4" t="str">
        <f>HYPERLINK("http://141.218.60.56/~jnz1568/getInfo.php?workbook=16_14.xlsx&amp;sheet=A0&amp;row=277&amp;col=7&amp;number=&amp;sourceID=48","")</f>
        <v/>
      </c>
      <c r="H277" s="4" t="str">
        <f>HYPERLINK("http://141.218.60.56/~jnz1568/getInfo.php?workbook=16_14.xlsx&amp;sheet=A0&amp;row=277&amp;col=8&amp;number=&amp;sourceID=48","")</f>
        <v/>
      </c>
      <c r="I277" s="4" t="str">
        <f>HYPERLINK("http://141.218.60.56/~jnz1568/getInfo.php?workbook=16_14.xlsx&amp;sheet=A0&amp;row=277&amp;col=9&amp;number=&amp;sourceID=48","")</f>
        <v/>
      </c>
      <c r="J277" s="4" t="str">
        <f>HYPERLINK("http://141.218.60.56/~jnz1568/getInfo.php?workbook=16_14.xlsx&amp;sheet=A0&amp;row=277&amp;col=10&amp;number=&amp;sourceID=49","")</f>
        <v/>
      </c>
      <c r="K277" s="4" t="str">
        <f>HYPERLINK("http://141.218.60.56/~jnz1568/getInfo.php?workbook=16_14.xlsx&amp;sheet=A0&amp;row=277&amp;col=11&amp;number=&amp;sourceID=49","")</f>
        <v/>
      </c>
    </row>
    <row r="278" spans="1:11">
      <c r="A278" s="3">
        <v>16</v>
      </c>
      <c r="B278" s="3">
        <v>14</v>
      </c>
      <c r="C278" s="3">
        <v>40</v>
      </c>
      <c r="D278" s="3">
        <v>20</v>
      </c>
      <c r="E278" s="3">
        <f>((1/(INDEX(E0!J$4:J$47,C278,1)-INDEX(E0!J$4:J$47,D278,1))))*100000000</f>
        <v>0</v>
      </c>
      <c r="F278" s="4" t="str">
        <f>HYPERLINK("http://141.218.60.56/~jnz1568/getInfo.php?workbook=16_14.xlsx&amp;sheet=A0&amp;row=278&amp;col=6&amp;number=2612.2&amp;sourceID=48","2612.2")</f>
        <v>2612.2</v>
      </c>
      <c r="G278" s="4" t="str">
        <f>HYPERLINK("http://141.218.60.56/~jnz1568/getInfo.php?workbook=16_14.xlsx&amp;sheet=A0&amp;row=278&amp;col=7&amp;number=&amp;sourceID=48","")</f>
        <v/>
      </c>
      <c r="H278" s="4" t="str">
        <f>HYPERLINK("http://141.218.60.56/~jnz1568/getInfo.php?workbook=16_14.xlsx&amp;sheet=A0&amp;row=278&amp;col=8&amp;number=&amp;sourceID=48","")</f>
        <v/>
      </c>
      <c r="I278" s="4" t="str">
        <f>HYPERLINK("http://141.218.60.56/~jnz1568/getInfo.php?workbook=16_14.xlsx&amp;sheet=A0&amp;row=278&amp;col=9&amp;number=&amp;sourceID=48","")</f>
        <v/>
      </c>
      <c r="J278" s="4" t="str">
        <f>HYPERLINK("http://141.218.60.56/~jnz1568/getInfo.php?workbook=16_14.xlsx&amp;sheet=A0&amp;row=278&amp;col=10&amp;number=&amp;sourceID=49","")</f>
        <v/>
      </c>
      <c r="K278" s="4" t="str">
        <f>HYPERLINK("http://141.218.60.56/~jnz1568/getInfo.php?workbook=16_14.xlsx&amp;sheet=A0&amp;row=278&amp;col=11&amp;number=&amp;sourceID=49","")</f>
        <v/>
      </c>
    </row>
    <row r="279" spans="1:11">
      <c r="A279" s="3">
        <v>16</v>
      </c>
      <c r="B279" s="3">
        <v>14</v>
      </c>
      <c r="C279" s="3">
        <v>40</v>
      </c>
      <c r="D279" s="3">
        <v>21</v>
      </c>
      <c r="E279" s="3">
        <f>((1/(INDEX(E0!J$4:J$47,C279,1)-INDEX(E0!J$4:J$47,D279,1))))*100000000</f>
        <v>0</v>
      </c>
      <c r="F279" s="4" t="str">
        <f>HYPERLINK("http://141.218.60.56/~jnz1568/getInfo.php?workbook=16_14.xlsx&amp;sheet=A0&amp;row=279&amp;col=6&amp;number=204310&amp;sourceID=48","204310")</f>
        <v>204310</v>
      </c>
      <c r="G279" s="4" t="str">
        <f>HYPERLINK("http://141.218.60.56/~jnz1568/getInfo.php?workbook=16_14.xlsx&amp;sheet=A0&amp;row=279&amp;col=7&amp;number=&amp;sourceID=48","")</f>
        <v/>
      </c>
      <c r="H279" s="4" t="str">
        <f>HYPERLINK("http://141.218.60.56/~jnz1568/getInfo.php?workbook=16_14.xlsx&amp;sheet=A0&amp;row=279&amp;col=8&amp;number=&amp;sourceID=48","")</f>
        <v/>
      </c>
      <c r="I279" s="4" t="str">
        <f>HYPERLINK("http://141.218.60.56/~jnz1568/getInfo.php?workbook=16_14.xlsx&amp;sheet=A0&amp;row=279&amp;col=9&amp;number=&amp;sourceID=48","")</f>
        <v/>
      </c>
      <c r="J279" s="4" t="str">
        <f>HYPERLINK("http://141.218.60.56/~jnz1568/getInfo.php?workbook=16_14.xlsx&amp;sheet=A0&amp;row=279&amp;col=10&amp;number=&amp;sourceID=49","")</f>
        <v/>
      </c>
      <c r="K279" s="4" t="str">
        <f>HYPERLINK("http://141.218.60.56/~jnz1568/getInfo.php?workbook=16_14.xlsx&amp;sheet=A0&amp;row=279&amp;col=11&amp;number=&amp;sourceID=49","")</f>
        <v/>
      </c>
    </row>
    <row r="280" spans="1:11">
      <c r="A280" s="3">
        <v>16</v>
      </c>
      <c r="B280" s="3">
        <v>14</v>
      </c>
      <c r="C280" s="3">
        <v>40</v>
      </c>
      <c r="D280" s="3">
        <v>23</v>
      </c>
      <c r="E280" s="3">
        <f>((1/(INDEX(E0!J$4:J$47,C280,1)-INDEX(E0!J$4:J$47,D280,1))))*100000000</f>
        <v>0</v>
      </c>
      <c r="F280" s="4" t="str">
        <f>HYPERLINK("http://141.218.60.56/~jnz1568/getInfo.php?workbook=16_14.xlsx&amp;sheet=A0&amp;row=280&amp;col=6&amp;number=11110000&amp;sourceID=48","11110000")</f>
        <v>11110000</v>
      </c>
      <c r="G280" s="4" t="str">
        <f>HYPERLINK("http://141.218.60.56/~jnz1568/getInfo.php?workbook=16_14.xlsx&amp;sheet=A0&amp;row=280&amp;col=7&amp;number=&amp;sourceID=48","")</f>
        <v/>
      </c>
      <c r="H280" s="4" t="str">
        <f>HYPERLINK("http://141.218.60.56/~jnz1568/getInfo.php?workbook=16_14.xlsx&amp;sheet=A0&amp;row=280&amp;col=8&amp;number=&amp;sourceID=48","")</f>
        <v/>
      </c>
      <c r="I280" s="4" t="str">
        <f>HYPERLINK("http://141.218.60.56/~jnz1568/getInfo.php?workbook=16_14.xlsx&amp;sheet=A0&amp;row=280&amp;col=9&amp;number=&amp;sourceID=48","")</f>
        <v/>
      </c>
      <c r="J280" s="4" t="str">
        <f>HYPERLINK("http://141.218.60.56/~jnz1568/getInfo.php?workbook=16_14.xlsx&amp;sheet=A0&amp;row=280&amp;col=10&amp;number=&amp;sourceID=49","")</f>
        <v/>
      </c>
      <c r="K280" s="4" t="str">
        <f>HYPERLINK("http://141.218.60.56/~jnz1568/getInfo.php?workbook=16_14.xlsx&amp;sheet=A0&amp;row=280&amp;col=11&amp;number=&amp;sourceID=49","")</f>
        <v/>
      </c>
    </row>
    <row r="281" spans="1:11">
      <c r="A281" s="3">
        <v>16</v>
      </c>
      <c r="B281" s="3">
        <v>14</v>
      </c>
      <c r="C281" s="3">
        <v>40</v>
      </c>
      <c r="D281" s="3">
        <v>24</v>
      </c>
      <c r="E281" s="3">
        <f>((1/(INDEX(E0!J$4:J$47,C281,1)-INDEX(E0!J$4:J$47,D281,1))))*100000000</f>
        <v>0</v>
      </c>
      <c r="F281" s="4" t="str">
        <f>HYPERLINK("http://141.218.60.56/~jnz1568/getInfo.php?workbook=16_14.xlsx&amp;sheet=A0&amp;row=281&amp;col=6&amp;number=61726&amp;sourceID=48","61726")</f>
        <v>61726</v>
      </c>
      <c r="G281" s="4" t="str">
        <f>HYPERLINK("http://141.218.60.56/~jnz1568/getInfo.php?workbook=16_14.xlsx&amp;sheet=A0&amp;row=281&amp;col=7&amp;number=&amp;sourceID=48","")</f>
        <v/>
      </c>
      <c r="H281" s="4" t="str">
        <f>HYPERLINK("http://141.218.60.56/~jnz1568/getInfo.php?workbook=16_14.xlsx&amp;sheet=A0&amp;row=281&amp;col=8&amp;number=&amp;sourceID=48","")</f>
        <v/>
      </c>
      <c r="I281" s="4" t="str">
        <f>HYPERLINK("http://141.218.60.56/~jnz1568/getInfo.php?workbook=16_14.xlsx&amp;sheet=A0&amp;row=281&amp;col=9&amp;number=&amp;sourceID=48","")</f>
        <v/>
      </c>
      <c r="J281" s="4" t="str">
        <f>HYPERLINK("http://141.218.60.56/~jnz1568/getInfo.php?workbook=16_14.xlsx&amp;sheet=A0&amp;row=281&amp;col=10&amp;number=&amp;sourceID=49","")</f>
        <v/>
      </c>
      <c r="K281" s="4" t="str">
        <f>HYPERLINK("http://141.218.60.56/~jnz1568/getInfo.php?workbook=16_14.xlsx&amp;sheet=A0&amp;row=281&amp;col=11&amp;number=&amp;sourceID=49","")</f>
        <v/>
      </c>
    </row>
    <row r="282" spans="1:11">
      <c r="A282" s="3">
        <v>16</v>
      </c>
      <c r="B282" s="3">
        <v>14</v>
      </c>
      <c r="C282" s="3">
        <v>40</v>
      </c>
      <c r="D282" s="3">
        <v>25</v>
      </c>
      <c r="E282" s="3">
        <f>((1/(INDEX(E0!J$4:J$47,C282,1)-INDEX(E0!J$4:J$47,D282,1))))*100000000</f>
        <v>0</v>
      </c>
      <c r="F282" s="4" t="str">
        <f>HYPERLINK("http://141.218.60.56/~jnz1568/getInfo.php?workbook=16_14.xlsx&amp;sheet=A0&amp;row=282&amp;col=6&amp;number=186390&amp;sourceID=48","186390")</f>
        <v>186390</v>
      </c>
      <c r="G282" s="4" t="str">
        <f>HYPERLINK("http://141.218.60.56/~jnz1568/getInfo.php?workbook=16_14.xlsx&amp;sheet=A0&amp;row=282&amp;col=7&amp;number=&amp;sourceID=48","")</f>
        <v/>
      </c>
      <c r="H282" s="4" t="str">
        <f>HYPERLINK("http://141.218.60.56/~jnz1568/getInfo.php?workbook=16_14.xlsx&amp;sheet=A0&amp;row=282&amp;col=8&amp;number=&amp;sourceID=48","")</f>
        <v/>
      </c>
      <c r="I282" s="4" t="str">
        <f>HYPERLINK("http://141.218.60.56/~jnz1568/getInfo.php?workbook=16_14.xlsx&amp;sheet=A0&amp;row=282&amp;col=9&amp;number=&amp;sourceID=48","")</f>
        <v/>
      </c>
      <c r="J282" s="4" t="str">
        <f>HYPERLINK("http://141.218.60.56/~jnz1568/getInfo.php?workbook=16_14.xlsx&amp;sheet=A0&amp;row=282&amp;col=10&amp;number=&amp;sourceID=49","")</f>
        <v/>
      </c>
      <c r="K282" s="4" t="str">
        <f>HYPERLINK("http://141.218.60.56/~jnz1568/getInfo.php?workbook=16_14.xlsx&amp;sheet=A0&amp;row=282&amp;col=11&amp;number=&amp;sourceID=49","")</f>
        <v/>
      </c>
    </row>
    <row r="283" spans="1:11">
      <c r="A283" s="3">
        <v>16</v>
      </c>
      <c r="B283" s="3">
        <v>14</v>
      </c>
      <c r="C283" s="3">
        <v>40</v>
      </c>
      <c r="D283" s="3">
        <v>26</v>
      </c>
      <c r="E283" s="3">
        <f>((1/(INDEX(E0!J$4:J$47,C283,1)-INDEX(E0!J$4:J$47,D283,1))))*100000000</f>
        <v>0</v>
      </c>
      <c r="F283" s="4" t="str">
        <f>HYPERLINK("http://141.218.60.56/~jnz1568/getInfo.php?workbook=16_14.xlsx&amp;sheet=A0&amp;row=283&amp;col=6&amp;number=1846.3&amp;sourceID=48","1846.3")</f>
        <v>1846.3</v>
      </c>
      <c r="G283" s="4" t="str">
        <f>HYPERLINK("http://141.218.60.56/~jnz1568/getInfo.php?workbook=16_14.xlsx&amp;sheet=A0&amp;row=283&amp;col=7&amp;number=&amp;sourceID=48","")</f>
        <v/>
      </c>
      <c r="H283" s="4" t="str">
        <f>HYPERLINK("http://141.218.60.56/~jnz1568/getInfo.php?workbook=16_14.xlsx&amp;sheet=A0&amp;row=283&amp;col=8&amp;number=&amp;sourceID=48","")</f>
        <v/>
      </c>
      <c r="I283" s="4" t="str">
        <f>HYPERLINK("http://141.218.60.56/~jnz1568/getInfo.php?workbook=16_14.xlsx&amp;sheet=A0&amp;row=283&amp;col=9&amp;number=&amp;sourceID=48","")</f>
        <v/>
      </c>
      <c r="J283" s="4" t="str">
        <f>HYPERLINK("http://141.218.60.56/~jnz1568/getInfo.php?workbook=16_14.xlsx&amp;sheet=A0&amp;row=283&amp;col=10&amp;number=&amp;sourceID=49","")</f>
        <v/>
      </c>
      <c r="K283" s="4" t="str">
        <f>HYPERLINK("http://141.218.60.56/~jnz1568/getInfo.php?workbook=16_14.xlsx&amp;sheet=A0&amp;row=283&amp;col=11&amp;number=&amp;sourceID=49","")</f>
        <v/>
      </c>
    </row>
    <row r="284" spans="1:11">
      <c r="A284" s="3">
        <v>16</v>
      </c>
      <c r="B284" s="3">
        <v>14</v>
      </c>
      <c r="C284" s="3">
        <v>40</v>
      </c>
      <c r="D284" s="3">
        <v>27</v>
      </c>
      <c r="E284" s="3">
        <f>((1/(INDEX(E0!J$4:J$47,C284,1)-INDEX(E0!J$4:J$47,D284,1))))*100000000</f>
        <v>0</v>
      </c>
      <c r="F284" s="4" t="str">
        <f>HYPERLINK("http://141.218.60.56/~jnz1568/getInfo.php?workbook=16_14.xlsx&amp;sheet=A0&amp;row=284&amp;col=6&amp;number=69093&amp;sourceID=48","69093")</f>
        <v>69093</v>
      </c>
      <c r="G284" s="4" t="str">
        <f>HYPERLINK("http://141.218.60.56/~jnz1568/getInfo.php?workbook=16_14.xlsx&amp;sheet=A0&amp;row=284&amp;col=7&amp;number=&amp;sourceID=48","")</f>
        <v/>
      </c>
      <c r="H284" s="4" t="str">
        <f>HYPERLINK("http://141.218.60.56/~jnz1568/getInfo.php?workbook=16_14.xlsx&amp;sheet=A0&amp;row=284&amp;col=8&amp;number=&amp;sourceID=48","")</f>
        <v/>
      </c>
      <c r="I284" s="4" t="str">
        <f>HYPERLINK("http://141.218.60.56/~jnz1568/getInfo.php?workbook=16_14.xlsx&amp;sheet=A0&amp;row=284&amp;col=9&amp;number=&amp;sourceID=48","")</f>
        <v/>
      </c>
      <c r="J284" s="4" t="str">
        <f>HYPERLINK("http://141.218.60.56/~jnz1568/getInfo.php?workbook=16_14.xlsx&amp;sheet=A0&amp;row=284&amp;col=10&amp;number=&amp;sourceID=49","")</f>
        <v/>
      </c>
      <c r="K284" s="4" t="str">
        <f>HYPERLINK("http://141.218.60.56/~jnz1568/getInfo.php?workbook=16_14.xlsx&amp;sheet=A0&amp;row=284&amp;col=11&amp;number=&amp;sourceID=49","")</f>
        <v/>
      </c>
    </row>
    <row r="285" spans="1:11">
      <c r="A285" s="3">
        <v>16</v>
      </c>
      <c r="B285" s="3">
        <v>14</v>
      </c>
      <c r="C285" s="3">
        <v>40</v>
      </c>
      <c r="D285" s="3">
        <v>28</v>
      </c>
      <c r="E285" s="3">
        <f>((1/(INDEX(E0!J$4:J$47,C285,1)-INDEX(E0!J$4:J$47,D285,1))))*100000000</f>
        <v>0</v>
      </c>
      <c r="F285" s="4" t="str">
        <f>HYPERLINK("http://141.218.60.56/~jnz1568/getInfo.php?workbook=16_14.xlsx&amp;sheet=A0&amp;row=285&amp;col=6&amp;number=173020000&amp;sourceID=48","173020000")</f>
        <v>173020000</v>
      </c>
      <c r="G285" s="4" t="str">
        <f>HYPERLINK("http://141.218.60.56/~jnz1568/getInfo.php?workbook=16_14.xlsx&amp;sheet=A0&amp;row=285&amp;col=7&amp;number=&amp;sourceID=48","")</f>
        <v/>
      </c>
      <c r="H285" s="4" t="str">
        <f>HYPERLINK("http://141.218.60.56/~jnz1568/getInfo.php?workbook=16_14.xlsx&amp;sheet=A0&amp;row=285&amp;col=8&amp;number=&amp;sourceID=48","")</f>
        <v/>
      </c>
      <c r="I285" s="4" t="str">
        <f>HYPERLINK("http://141.218.60.56/~jnz1568/getInfo.php?workbook=16_14.xlsx&amp;sheet=A0&amp;row=285&amp;col=9&amp;number=&amp;sourceID=48","")</f>
        <v/>
      </c>
      <c r="J285" s="4" t="str">
        <f>HYPERLINK("http://141.218.60.56/~jnz1568/getInfo.php?workbook=16_14.xlsx&amp;sheet=A0&amp;row=285&amp;col=10&amp;number=&amp;sourceID=49","")</f>
        <v/>
      </c>
      <c r="K285" s="4" t="str">
        <f>HYPERLINK("http://141.218.60.56/~jnz1568/getInfo.php?workbook=16_14.xlsx&amp;sheet=A0&amp;row=285&amp;col=11&amp;number=&amp;sourceID=49","")</f>
        <v/>
      </c>
    </row>
    <row r="286" spans="1:11">
      <c r="A286" s="3">
        <v>16</v>
      </c>
      <c r="B286" s="3">
        <v>14</v>
      </c>
      <c r="C286" s="3">
        <v>40</v>
      </c>
      <c r="D286" s="3">
        <v>28</v>
      </c>
      <c r="E286" s="3">
        <f>((1/(INDEX(E0!J$4:J$47,C286,1)-INDEX(E0!J$4:J$47,D286,1))))*100000000</f>
        <v>0</v>
      </c>
      <c r="F286" s="4" t="str">
        <f>HYPERLINK("http://141.218.60.56/~jnz1568/getInfo.php?workbook=16_14.xlsx&amp;sheet=A0&amp;row=286&amp;col=6&amp;number=173020000&amp;sourceID=48","173020000")</f>
        <v>173020000</v>
      </c>
      <c r="G286" s="4" t="str">
        <f>HYPERLINK("http://141.218.60.56/~jnz1568/getInfo.php?workbook=16_14.xlsx&amp;sheet=A0&amp;row=286&amp;col=7&amp;number=&amp;sourceID=48","")</f>
        <v/>
      </c>
      <c r="H286" s="4" t="str">
        <f>HYPERLINK("http://141.218.60.56/~jnz1568/getInfo.php?workbook=16_14.xlsx&amp;sheet=A0&amp;row=286&amp;col=8&amp;number=&amp;sourceID=48","")</f>
        <v/>
      </c>
      <c r="I286" s="4" t="str">
        <f>HYPERLINK("http://141.218.60.56/~jnz1568/getInfo.php?workbook=16_14.xlsx&amp;sheet=A0&amp;row=286&amp;col=9&amp;number=&amp;sourceID=48","")</f>
        <v/>
      </c>
      <c r="J286" s="4" t="str">
        <f>HYPERLINK("http://141.218.60.56/~jnz1568/getInfo.php?workbook=16_14.xlsx&amp;sheet=A0&amp;row=286&amp;col=10&amp;number=&amp;sourceID=49","")</f>
        <v/>
      </c>
      <c r="K286" s="4" t="str">
        <f>HYPERLINK("http://141.218.60.56/~jnz1568/getInfo.php?workbook=16_14.xlsx&amp;sheet=A0&amp;row=286&amp;col=11&amp;number=&amp;sourceID=49","")</f>
        <v/>
      </c>
    </row>
    <row r="287" spans="1:11">
      <c r="A287" s="3">
        <v>16</v>
      </c>
      <c r="B287" s="3">
        <v>14</v>
      </c>
      <c r="C287" s="3">
        <v>40</v>
      </c>
      <c r="D287" s="3">
        <v>29</v>
      </c>
      <c r="E287" s="3">
        <f>((1/(INDEX(E0!J$4:J$47,C287,1)-INDEX(E0!J$4:J$47,D287,1))))*100000000</f>
        <v>0</v>
      </c>
      <c r="F287" s="4" t="str">
        <f>HYPERLINK("http://141.218.60.56/~jnz1568/getInfo.php?workbook=16_14.xlsx&amp;sheet=A0&amp;row=287&amp;col=6&amp;number=5198000&amp;sourceID=48","5198000")</f>
        <v>5198000</v>
      </c>
      <c r="G287" s="4" t="str">
        <f>HYPERLINK("http://141.218.60.56/~jnz1568/getInfo.php?workbook=16_14.xlsx&amp;sheet=A0&amp;row=287&amp;col=7&amp;number=&amp;sourceID=48","")</f>
        <v/>
      </c>
      <c r="H287" s="4" t="str">
        <f>HYPERLINK("http://141.218.60.56/~jnz1568/getInfo.php?workbook=16_14.xlsx&amp;sheet=A0&amp;row=287&amp;col=8&amp;number=&amp;sourceID=48","")</f>
        <v/>
      </c>
      <c r="I287" s="4" t="str">
        <f>HYPERLINK("http://141.218.60.56/~jnz1568/getInfo.php?workbook=16_14.xlsx&amp;sheet=A0&amp;row=287&amp;col=9&amp;number=&amp;sourceID=48","")</f>
        <v/>
      </c>
      <c r="J287" s="4" t="str">
        <f>HYPERLINK("http://141.218.60.56/~jnz1568/getInfo.php?workbook=16_14.xlsx&amp;sheet=A0&amp;row=287&amp;col=10&amp;number=&amp;sourceID=49","")</f>
        <v/>
      </c>
      <c r="K287" s="4" t="str">
        <f>HYPERLINK("http://141.218.60.56/~jnz1568/getInfo.php?workbook=16_14.xlsx&amp;sheet=A0&amp;row=287&amp;col=11&amp;number=&amp;sourceID=49","")</f>
        <v/>
      </c>
    </row>
    <row r="288" spans="1:11">
      <c r="A288" s="3">
        <v>16</v>
      </c>
      <c r="B288" s="3">
        <v>14</v>
      </c>
      <c r="C288" s="3">
        <v>40</v>
      </c>
      <c r="D288" s="3">
        <v>29</v>
      </c>
      <c r="E288" s="3">
        <f>((1/(INDEX(E0!J$4:J$47,C288,1)-INDEX(E0!J$4:J$47,D288,1))))*100000000</f>
        <v>0</v>
      </c>
      <c r="F288" s="4" t="str">
        <f>HYPERLINK("http://141.218.60.56/~jnz1568/getInfo.php?workbook=16_14.xlsx&amp;sheet=A0&amp;row=288&amp;col=6&amp;number=5198000&amp;sourceID=48","5198000")</f>
        <v>5198000</v>
      </c>
      <c r="G288" s="4" t="str">
        <f>HYPERLINK("http://141.218.60.56/~jnz1568/getInfo.php?workbook=16_14.xlsx&amp;sheet=A0&amp;row=288&amp;col=7&amp;number=&amp;sourceID=48","")</f>
        <v/>
      </c>
      <c r="H288" s="4" t="str">
        <f>HYPERLINK("http://141.218.60.56/~jnz1568/getInfo.php?workbook=16_14.xlsx&amp;sheet=A0&amp;row=288&amp;col=8&amp;number=&amp;sourceID=48","")</f>
        <v/>
      </c>
      <c r="I288" s="4" t="str">
        <f>HYPERLINK("http://141.218.60.56/~jnz1568/getInfo.php?workbook=16_14.xlsx&amp;sheet=A0&amp;row=288&amp;col=9&amp;number=&amp;sourceID=48","")</f>
        <v/>
      </c>
      <c r="J288" s="4" t="str">
        <f>HYPERLINK("http://141.218.60.56/~jnz1568/getInfo.php?workbook=16_14.xlsx&amp;sheet=A0&amp;row=288&amp;col=10&amp;number=&amp;sourceID=49","")</f>
        <v/>
      </c>
      <c r="K288" s="4" t="str">
        <f>HYPERLINK("http://141.218.60.56/~jnz1568/getInfo.php?workbook=16_14.xlsx&amp;sheet=A0&amp;row=288&amp;col=11&amp;number=&amp;sourceID=49","")</f>
        <v/>
      </c>
    </row>
    <row r="289" spans="1:11">
      <c r="A289" s="3">
        <v>16</v>
      </c>
      <c r="B289" s="3">
        <v>14</v>
      </c>
      <c r="C289" s="3">
        <v>40</v>
      </c>
      <c r="D289" s="3">
        <v>30</v>
      </c>
      <c r="E289" s="3">
        <f>((1/(INDEX(E0!J$4:J$47,C289,1)-INDEX(E0!J$4:J$47,D289,1))))*100000000</f>
        <v>0</v>
      </c>
      <c r="F289" s="4" t="str">
        <f>HYPERLINK("http://141.218.60.56/~jnz1568/getInfo.php?workbook=16_14.xlsx&amp;sheet=A0&amp;row=289&amp;col=6&amp;number=32096000&amp;sourceID=48","32096000")</f>
        <v>32096000</v>
      </c>
      <c r="G289" s="4" t="str">
        <f>HYPERLINK("http://141.218.60.56/~jnz1568/getInfo.php?workbook=16_14.xlsx&amp;sheet=A0&amp;row=289&amp;col=7&amp;number=&amp;sourceID=48","")</f>
        <v/>
      </c>
      <c r="H289" s="4" t="str">
        <f>HYPERLINK("http://141.218.60.56/~jnz1568/getInfo.php?workbook=16_14.xlsx&amp;sheet=A0&amp;row=289&amp;col=8&amp;number=&amp;sourceID=48","")</f>
        <v/>
      </c>
      <c r="I289" s="4" t="str">
        <f>HYPERLINK("http://141.218.60.56/~jnz1568/getInfo.php?workbook=16_14.xlsx&amp;sheet=A0&amp;row=289&amp;col=9&amp;number=&amp;sourceID=48","")</f>
        <v/>
      </c>
      <c r="J289" s="4" t="str">
        <f>HYPERLINK("http://141.218.60.56/~jnz1568/getInfo.php?workbook=16_14.xlsx&amp;sheet=A0&amp;row=289&amp;col=10&amp;number=&amp;sourceID=49","")</f>
        <v/>
      </c>
      <c r="K289" s="4" t="str">
        <f>HYPERLINK("http://141.218.60.56/~jnz1568/getInfo.php?workbook=16_14.xlsx&amp;sheet=A0&amp;row=289&amp;col=11&amp;number=&amp;sourceID=49","")</f>
        <v/>
      </c>
    </row>
    <row r="290" spans="1:11">
      <c r="A290" s="3">
        <v>16</v>
      </c>
      <c r="B290" s="3">
        <v>14</v>
      </c>
      <c r="C290" s="3">
        <v>40</v>
      </c>
      <c r="D290" s="3">
        <v>30</v>
      </c>
      <c r="E290" s="3">
        <f>((1/(INDEX(E0!J$4:J$47,C290,1)-INDEX(E0!J$4:J$47,D290,1))))*100000000</f>
        <v>0</v>
      </c>
      <c r="F290" s="4" t="str">
        <f>HYPERLINK("http://141.218.60.56/~jnz1568/getInfo.php?workbook=16_14.xlsx&amp;sheet=A0&amp;row=290&amp;col=6&amp;number=32096000&amp;sourceID=48","32096000")</f>
        <v>32096000</v>
      </c>
      <c r="G290" s="4" t="str">
        <f>HYPERLINK("http://141.218.60.56/~jnz1568/getInfo.php?workbook=16_14.xlsx&amp;sheet=A0&amp;row=290&amp;col=7&amp;number=&amp;sourceID=48","")</f>
        <v/>
      </c>
      <c r="H290" s="4" t="str">
        <f>HYPERLINK("http://141.218.60.56/~jnz1568/getInfo.php?workbook=16_14.xlsx&amp;sheet=A0&amp;row=290&amp;col=8&amp;number=&amp;sourceID=48","")</f>
        <v/>
      </c>
      <c r="I290" s="4" t="str">
        <f>HYPERLINK("http://141.218.60.56/~jnz1568/getInfo.php?workbook=16_14.xlsx&amp;sheet=A0&amp;row=290&amp;col=9&amp;number=&amp;sourceID=48","")</f>
        <v/>
      </c>
      <c r="J290" s="4" t="str">
        <f>HYPERLINK("http://141.218.60.56/~jnz1568/getInfo.php?workbook=16_14.xlsx&amp;sheet=A0&amp;row=290&amp;col=10&amp;number=&amp;sourceID=49","")</f>
        <v/>
      </c>
      <c r="K290" s="4" t="str">
        <f>HYPERLINK("http://141.218.60.56/~jnz1568/getInfo.php?workbook=16_14.xlsx&amp;sheet=A0&amp;row=290&amp;col=11&amp;number=&amp;sourceID=49","")</f>
        <v/>
      </c>
    </row>
    <row r="291" spans="1:11">
      <c r="A291" s="3">
        <v>16</v>
      </c>
      <c r="B291" s="3">
        <v>14</v>
      </c>
      <c r="C291" s="3">
        <v>40</v>
      </c>
      <c r="D291" s="3">
        <v>31</v>
      </c>
      <c r="E291" s="3">
        <f>((1/(INDEX(E0!J$4:J$47,C291,1)-INDEX(E0!J$4:J$47,D291,1))))*100000000</f>
        <v>0</v>
      </c>
      <c r="F291" s="4" t="str">
        <f>HYPERLINK("http://141.218.60.56/~jnz1568/getInfo.php?workbook=16_14.xlsx&amp;sheet=A0&amp;row=291&amp;col=6&amp;number=336390&amp;sourceID=48","336390")</f>
        <v>336390</v>
      </c>
      <c r="G291" s="4" t="str">
        <f>HYPERLINK("http://141.218.60.56/~jnz1568/getInfo.php?workbook=16_14.xlsx&amp;sheet=A0&amp;row=291&amp;col=7&amp;number=&amp;sourceID=48","")</f>
        <v/>
      </c>
      <c r="H291" s="4" t="str">
        <f>HYPERLINK("http://141.218.60.56/~jnz1568/getInfo.php?workbook=16_14.xlsx&amp;sheet=A0&amp;row=291&amp;col=8&amp;number=&amp;sourceID=48","")</f>
        <v/>
      </c>
      <c r="I291" s="4" t="str">
        <f>HYPERLINK("http://141.218.60.56/~jnz1568/getInfo.php?workbook=16_14.xlsx&amp;sheet=A0&amp;row=291&amp;col=9&amp;number=&amp;sourceID=48","")</f>
        <v/>
      </c>
      <c r="J291" s="4" t="str">
        <f>HYPERLINK("http://141.218.60.56/~jnz1568/getInfo.php?workbook=16_14.xlsx&amp;sheet=A0&amp;row=291&amp;col=10&amp;number=&amp;sourceID=49","")</f>
        <v/>
      </c>
      <c r="K291" s="4" t="str">
        <f>HYPERLINK("http://141.218.60.56/~jnz1568/getInfo.php?workbook=16_14.xlsx&amp;sheet=A0&amp;row=291&amp;col=11&amp;number=&amp;sourceID=49","")</f>
        <v/>
      </c>
    </row>
    <row r="292" spans="1:11">
      <c r="A292" s="3">
        <v>16</v>
      </c>
      <c r="B292" s="3">
        <v>14</v>
      </c>
      <c r="C292" s="3">
        <v>40</v>
      </c>
      <c r="D292" s="3">
        <v>31</v>
      </c>
      <c r="E292" s="3">
        <f>((1/(INDEX(E0!J$4:J$47,C292,1)-INDEX(E0!J$4:J$47,D292,1))))*100000000</f>
        <v>0</v>
      </c>
      <c r="F292" s="4" t="str">
        <f>HYPERLINK("http://141.218.60.56/~jnz1568/getInfo.php?workbook=16_14.xlsx&amp;sheet=A0&amp;row=292&amp;col=6&amp;number=336390&amp;sourceID=48","336390")</f>
        <v>336390</v>
      </c>
      <c r="G292" s="4" t="str">
        <f>HYPERLINK("http://141.218.60.56/~jnz1568/getInfo.php?workbook=16_14.xlsx&amp;sheet=A0&amp;row=292&amp;col=7&amp;number=&amp;sourceID=48","")</f>
        <v/>
      </c>
      <c r="H292" s="4" t="str">
        <f>HYPERLINK("http://141.218.60.56/~jnz1568/getInfo.php?workbook=16_14.xlsx&amp;sheet=A0&amp;row=292&amp;col=8&amp;number=&amp;sourceID=48","")</f>
        <v/>
      </c>
      <c r="I292" s="4" t="str">
        <f>HYPERLINK("http://141.218.60.56/~jnz1568/getInfo.php?workbook=16_14.xlsx&amp;sheet=A0&amp;row=292&amp;col=9&amp;number=&amp;sourceID=48","")</f>
        <v/>
      </c>
      <c r="J292" s="4" t="str">
        <f>HYPERLINK("http://141.218.60.56/~jnz1568/getInfo.php?workbook=16_14.xlsx&amp;sheet=A0&amp;row=292&amp;col=10&amp;number=&amp;sourceID=49","")</f>
        <v/>
      </c>
      <c r="K292" s="4" t="str">
        <f>HYPERLINK("http://141.218.60.56/~jnz1568/getInfo.php?workbook=16_14.xlsx&amp;sheet=A0&amp;row=292&amp;col=11&amp;number=&amp;sourceID=49","")</f>
        <v/>
      </c>
    </row>
    <row r="293" spans="1:11">
      <c r="A293" s="3">
        <v>16</v>
      </c>
      <c r="B293" s="3">
        <v>14</v>
      </c>
      <c r="C293" s="3">
        <v>41</v>
      </c>
      <c r="D293" s="3">
        <v>6</v>
      </c>
      <c r="E293" s="3"/>
      <c r="F293" s="4" t="str">
        <f>HYPERLINK("http://141.218.60.56/~jnz1568/getInfo.php?workbook=16_14.xlsx&amp;sheet=A0&amp;row=293&amp;col=6&amp;number=7002.3&amp;sourceID=48","7002.3")</f>
        <v>7002.3</v>
      </c>
      <c r="G293" s="4" t="str">
        <f>HYPERLINK("http://141.218.60.56/~jnz1568/getInfo.php?workbook=16_14.xlsx&amp;sheet=A0&amp;row=293&amp;col=7&amp;number=&amp;sourceID=48","")</f>
        <v/>
      </c>
      <c r="H293" s="4" t="str">
        <f>HYPERLINK("http://141.218.60.56/~jnz1568/getInfo.php?workbook=16_14.xlsx&amp;sheet=A0&amp;row=293&amp;col=8&amp;number=&amp;sourceID=48","")</f>
        <v/>
      </c>
      <c r="I293" s="4" t="str">
        <f>HYPERLINK("http://141.218.60.56/~jnz1568/getInfo.php?workbook=16_14.xlsx&amp;sheet=A0&amp;row=293&amp;col=9&amp;number=&amp;sourceID=48","")</f>
        <v/>
      </c>
      <c r="J293" s="4" t="str">
        <f>HYPERLINK("http://141.218.60.56/~jnz1568/getInfo.php?workbook=16_14.xlsx&amp;sheet=A0&amp;row=293&amp;col=10&amp;number=&amp;sourceID=49","")</f>
        <v/>
      </c>
      <c r="K293" s="4" t="str">
        <f>HYPERLINK("http://141.218.60.56/~jnz1568/getInfo.php?workbook=16_14.xlsx&amp;sheet=A0&amp;row=293&amp;col=11&amp;number=&amp;sourceID=49","")</f>
        <v/>
      </c>
    </row>
    <row r="294" spans="1:11">
      <c r="A294" s="3">
        <v>16</v>
      </c>
      <c r="B294" s="3">
        <v>14</v>
      </c>
      <c r="C294" s="3">
        <v>41</v>
      </c>
      <c r="D294" s="3">
        <v>7</v>
      </c>
      <c r="E294" s="3"/>
      <c r="F294" s="4" t="str">
        <f>HYPERLINK("http://141.218.60.56/~jnz1568/getInfo.php?workbook=16_14.xlsx&amp;sheet=A0&amp;row=294&amp;col=6&amp;number=4356100&amp;sourceID=48","4356100")</f>
        <v>4356100</v>
      </c>
      <c r="G294" s="4" t="str">
        <f>HYPERLINK("http://141.218.60.56/~jnz1568/getInfo.php?workbook=16_14.xlsx&amp;sheet=A0&amp;row=294&amp;col=7&amp;number=&amp;sourceID=48","")</f>
        <v/>
      </c>
      <c r="H294" s="4" t="str">
        <f>HYPERLINK("http://141.218.60.56/~jnz1568/getInfo.php?workbook=16_14.xlsx&amp;sheet=A0&amp;row=294&amp;col=8&amp;number=&amp;sourceID=48","")</f>
        <v/>
      </c>
      <c r="I294" s="4" t="str">
        <f>HYPERLINK("http://141.218.60.56/~jnz1568/getInfo.php?workbook=16_14.xlsx&amp;sheet=A0&amp;row=294&amp;col=9&amp;number=&amp;sourceID=48","")</f>
        <v/>
      </c>
      <c r="J294" s="4" t="str">
        <f>HYPERLINK("http://141.218.60.56/~jnz1568/getInfo.php?workbook=16_14.xlsx&amp;sheet=A0&amp;row=294&amp;col=10&amp;number=&amp;sourceID=49","")</f>
        <v/>
      </c>
      <c r="K294" s="4" t="str">
        <f>HYPERLINK("http://141.218.60.56/~jnz1568/getInfo.php?workbook=16_14.xlsx&amp;sheet=A0&amp;row=294&amp;col=11&amp;number=&amp;sourceID=49","")</f>
        <v/>
      </c>
    </row>
    <row r="295" spans="1:11">
      <c r="A295" s="3">
        <v>16</v>
      </c>
      <c r="B295" s="3">
        <v>14</v>
      </c>
      <c r="C295" s="3">
        <v>41</v>
      </c>
      <c r="D295" s="3">
        <v>8</v>
      </c>
      <c r="E295" s="3"/>
      <c r="F295" s="4" t="str">
        <f>HYPERLINK("http://141.218.60.56/~jnz1568/getInfo.php?workbook=16_14.xlsx&amp;sheet=A0&amp;row=295&amp;col=6&amp;number=66786000&amp;sourceID=48","66786000")</f>
        <v>66786000</v>
      </c>
      <c r="G295" s="4" t="str">
        <f>HYPERLINK("http://141.218.60.56/~jnz1568/getInfo.php?workbook=16_14.xlsx&amp;sheet=A0&amp;row=295&amp;col=7&amp;number=&amp;sourceID=48","")</f>
        <v/>
      </c>
      <c r="H295" s="4" t="str">
        <f>HYPERLINK("http://141.218.60.56/~jnz1568/getInfo.php?workbook=16_14.xlsx&amp;sheet=A0&amp;row=295&amp;col=8&amp;number=&amp;sourceID=48","")</f>
        <v/>
      </c>
      <c r="I295" s="4" t="str">
        <f>HYPERLINK("http://141.218.60.56/~jnz1568/getInfo.php?workbook=16_14.xlsx&amp;sheet=A0&amp;row=295&amp;col=9&amp;number=&amp;sourceID=48","")</f>
        <v/>
      </c>
      <c r="J295" s="4" t="str">
        <f>HYPERLINK("http://141.218.60.56/~jnz1568/getInfo.php?workbook=16_14.xlsx&amp;sheet=A0&amp;row=295&amp;col=10&amp;number=&amp;sourceID=49","")</f>
        <v/>
      </c>
      <c r="K295" s="4" t="str">
        <f>HYPERLINK("http://141.218.60.56/~jnz1568/getInfo.php?workbook=16_14.xlsx&amp;sheet=A0&amp;row=295&amp;col=11&amp;number=&amp;sourceID=49","")</f>
        <v/>
      </c>
    </row>
    <row r="296" spans="1:11">
      <c r="A296" s="3">
        <v>16</v>
      </c>
      <c r="B296" s="3">
        <v>14</v>
      </c>
      <c r="C296" s="3">
        <v>41</v>
      </c>
      <c r="D296" s="3">
        <v>9</v>
      </c>
      <c r="E296" s="3"/>
      <c r="F296" s="4" t="str">
        <f>HYPERLINK("http://141.218.60.56/~jnz1568/getInfo.php?workbook=16_14.xlsx&amp;sheet=A0&amp;row=296&amp;col=6&amp;number=386940000&amp;sourceID=48","386940000")</f>
        <v>386940000</v>
      </c>
      <c r="G296" s="4" t="str">
        <f>HYPERLINK("http://141.218.60.56/~jnz1568/getInfo.php?workbook=16_14.xlsx&amp;sheet=A0&amp;row=296&amp;col=7&amp;number=&amp;sourceID=48","")</f>
        <v/>
      </c>
      <c r="H296" s="4" t="str">
        <f>HYPERLINK("http://141.218.60.56/~jnz1568/getInfo.php?workbook=16_14.xlsx&amp;sheet=A0&amp;row=296&amp;col=8&amp;number=&amp;sourceID=48","")</f>
        <v/>
      </c>
      <c r="I296" s="4" t="str">
        <f>HYPERLINK("http://141.218.60.56/~jnz1568/getInfo.php?workbook=16_14.xlsx&amp;sheet=A0&amp;row=296&amp;col=9&amp;number=&amp;sourceID=48","")</f>
        <v/>
      </c>
      <c r="J296" s="4" t="str">
        <f>HYPERLINK("http://141.218.60.56/~jnz1568/getInfo.php?workbook=16_14.xlsx&amp;sheet=A0&amp;row=296&amp;col=10&amp;number=&amp;sourceID=49","")</f>
        <v/>
      </c>
      <c r="K296" s="4" t="str">
        <f>HYPERLINK("http://141.218.60.56/~jnz1568/getInfo.php?workbook=16_14.xlsx&amp;sheet=A0&amp;row=296&amp;col=11&amp;number=&amp;sourceID=49","")</f>
        <v/>
      </c>
    </row>
    <row r="297" spans="1:11">
      <c r="A297" s="3">
        <v>16</v>
      </c>
      <c r="B297" s="3">
        <v>14</v>
      </c>
      <c r="C297" s="3">
        <v>41</v>
      </c>
      <c r="D297" s="3">
        <v>10</v>
      </c>
      <c r="E297" s="3"/>
      <c r="F297" s="4" t="str">
        <f>HYPERLINK("http://141.218.60.56/~jnz1568/getInfo.php?workbook=16_14.xlsx&amp;sheet=A0&amp;row=297&amp;col=6&amp;number=812290&amp;sourceID=48","812290")</f>
        <v>812290</v>
      </c>
      <c r="G297" s="4" t="str">
        <f>HYPERLINK("http://141.218.60.56/~jnz1568/getInfo.php?workbook=16_14.xlsx&amp;sheet=A0&amp;row=297&amp;col=7&amp;number=&amp;sourceID=48","")</f>
        <v/>
      </c>
      <c r="H297" s="4" t="str">
        <f>HYPERLINK("http://141.218.60.56/~jnz1568/getInfo.php?workbook=16_14.xlsx&amp;sheet=A0&amp;row=297&amp;col=8&amp;number=&amp;sourceID=48","")</f>
        <v/>
      </c>
      <c r="I297" s="4" t="str">
        <f>HYPERLINK("http://141.218.60.56/~jnz1568/getInfo.php?workbook=16_14.xlsx&amp;sheet=A0&amp;row=297&amp;col=9&amp;number=&amp;sourceID=48","")</f>
        <v/>
      </c>
      <c r="J297" s="4" t="str">
        <f>HYPERLINK("http://141.218.60.56/~jnz1568/getInfo.php?workbook=16_14.xlsx&amp;sheet=A0&amp;row=297&amp;col=10&amp;number=&amp;sourceID=49","")</f>
        <v/>
      </c>
      <c r="K297" s="4" t="str">
        <f>HYPERLINK("http://141.218.60.56/~jnz1568/getInfo.php?workbook=16_14.xlsx&amp;sheet=A0&amp;row=297&amp;col=11&amp;number=&amp;sourceID=49","")</f>
        <v/>
      </c>
    </row>
    <row r="298" spans="1:11">
      <c r="A298" s="3">
        <v>16</v>
      </c>
      <c r="B298" s="3">
        <v>14</v>
      </c>
      <c r="C298" s="3">
        <v>41</v>
      </c>
      <c r="D298" s="3">
        <v>11</v>
      </c>
      <c r="E298" s="3"/>
      <c r="F298" s="4" t="str">
        <f>HYPERLINK("http://141.218.60.56/~jnz1568/getInfo.php?workbook=16_14.xlsx&amp;sheet=A0&amp;row=298&amp;col=6&amp;number=252810&amp;sourceID=48","252810")</f>
        <v>252810</v>
      </c>
      <c r="G298" s="4" t="str">
        <f>HYPERLINK("http://141.218.60.56/~jnz1568/getInfo.php?workbook=16_14.xlsx&amp;sheet=A0&amp;row=298&amp;col=7&amp;number=&amp;sourceID=48","")</f>
        <v/>
      </c>
      <c r="H298" s="4" t="str">
        <f>HYPERLINK("http://141.218.60.56/~jnz1568/getInfo.php?workbook=16_14.xlsx&amp;sheet=A0&amp;row=298&amp;col=8&amp;number=&amp;sourceID=48","")</f>
        <v/>
      </c>
      <c r="I298" s="4" t="str">
        <f>HYPERLINK("http://141.218.60.56/~jnz1568/getInfo.php?workbook=16_14.xlsx&amp;sheet=A0&amp;row=298&amp;col=9&amp;number=&amp;sourceID=48","")</f>
        <v/>
      </c>
      <c r="J298" s="4" t="str">
        <f>HYPERLINK("http://141.218.60.56/~jnz1568/getInfo.php?workbook=16_14.xlsx&amp;sheet=A0&amp;row=298&amp;col=10&amp;number=&amp;sourceID=49","")</f>
        <v/>
      </c>
      <c r="K298" s="4" t="str">
        <f>HYPERLINK("http://141.218.60.56/~jnz1568/getInfo.php?workbook=16_14.xlsx&amp;sheet=A0&amp;row=298&amp;col=11&amp;number=&amp;sourceID=49","")</f>
        <v/>
      </c>
    </row>
    <row r="299" spans="1:11">
      <c r="A299" s="3">
        <v>16</v>
      </c>
      <c r="B299" s="3">
        <v>14</v>
      </c>
      <c r="C299" s="3">
        <v>41</v>
      </c>
      <c r="D299" s="3">
        <v>13</v>
      </c>
      <c r="E299" s="3"/>
      <c r="F299" s="4" t="str">
        <f>HYPERLINK("http://141.218.60.56/~jnz1568/getInfo.php?workbook=16_14.xlsx&amp;sheet=A0&amp;row=299&amp;col=6&amp;number=485350&amp;sourceID=48","485350")</f>
        <v>485350</v>
      </c>
      <c r="G299" s="4" t="str">
        <f>HYPERLINK("http://141.218.60.56/~jnz1568/getInfo.php?workbook=16_14.xlsx&amp;sheet=A0&amp;row=299&amp;col=7&amp;number=&amp;sourceID=48","")</f>
        <v/>
      </c>
      <c r="H299" s="4" t="str">
        <f>HYPERLINK("http://141.218.60.56/~jnz1568/getInfo.php?workbook=16_14.xlsx&amp;sheet=A0&amp;row=299&amp;col=8&amp;number=&amp;sourceID=48","")</f>
        <v/>
      </c>
      <c r="I299" s="4" t="str">
        <f>HYPERLINK("http://141.218.60.56/~jnz1568/getInfo.php?workbook=16_14.xlsx&amp;sheet=A0&amp;row=299&amp;col=9&amp;number=&amp;sourceID=48","")</f>
        <v/>
      </c>
      <c r="J299" s="4" t="str">
        <f>HYPERLINK("http://141.218.60.56/~jnz1568/getInfo.php?workbook=16_14.xlsx&amp;sheet=A0&amp;row=299&amp;col=10&amp;number=&amp;sourceID=49","")</f>
        <v/>
      </c>
      <c r="K299" s="4" t="str">
        <f>HYPERLINK("http://141.218.60.56/~jnz1568/getInfo.php?workbook=16_14.xlsx&amp;sheet=A0&amp;row=299&amp;col=11&amp;number=&amp;sourceID=49","")</f>
        <v/>
      </c>
    </row>
    <row r="300" spans="1:11">
      <c r="A300" s="3">
        <v>16</v>
      </c>
      <c r="B300" s="3">
        <v>14</v>
      </c>
      <c r="C300" s="3">
        <v>41</v>
      </c>
      <c r="D300" s="3">
        <v>14</v>
      </c>
      <c r="E300" s="3"/>
      <c r="F300" s="4" t="str">
        <f>HYPERLINK("http://141.218.60.56/~jnz1568/getInfo.php?workbook=16_14.xlsx&amp;sheet=A0&amp;row=300&amp;col=6&amp;number=13.798&amp;sourceID=48","13.798")</f>
        <v>13.798</v>
      </c>
      <c r="G300" s="4" t="str">
        <f>HYPERLINK("http://141.218.60.56/~jnz1568/getInfo.php?workbook=16_14.xlsx&amp;sheet=A0&amp;row=300&amp;col=7&amp;number=&amp;sourceID=48","")</f>
        <v/>
      </c>
      <c r="H300" s="4" t="str">
        <f>HYPERLINK("http://141.218.60.56/~jnz1568/getInfo.php?workbook=16_14.xlsx&amp;sheet=A0&amp;row=300&amp;col=8&amp;number=&amp;sourceID=48","")</f>
        <v/>
      </c>
      <c r="I300" s="4" t="str">
        <f>HYPERLINK("http://141.218.60.56/~jnz1568/getInfo.php?workbook=16_14.xlsx&amp;sheet=A0&amp;row=300&amp;col=9&amp;number=&amp;sourceID=48","")</f>
        <v/>
      </c>
      <c r="J300" s="4" t="str">
        <f>HYPERLINK("http://141.218.60.56/~jnz1568/getInfo.php?workbook=16_14.xlsx&amp;sheet=A0&amp;row=300&amp;col=10&amp;number=&amp;sourceID=49","")</f>
        <v/>
      </c>
      <c r="K300" s="4" t="str">
        <f>HYPERLINK("http://141.218.60.56/~jnz1568/getInfo.php?workbook=16_14.xlsx&amp;sheet=A0&amp;row=300&amp;col=11&amp;number=&amp;sourceID=49","")</f>
        <v/>
      </c>
    </row>
    <row r="301" spans="1:11">
      <c r="A301" s="3">
        <v>16</v>
      </c>
      <c r="B301" s="3">
        <v>14</v>
      </c>
      <c r="C301" s="3">
        <v>41</v>
      </c>
      <c r="D301" s="3">
        <v>15</v>
      </c>
      <c r="E301" s="3"/>
      <c r="F301" s="4" t="str">
        <f>HYPERLINK("http://141.218.60.56/~jnz1568/getInfo.php?workbook=16_14.xlsx&amp;sheet=A0&amp;row=301&amp;col=6&amp;number=747.25&amp;sourceID=48","747.25")</f>
        <v>747.25</v>
      </c>
      <c r="G301" s="4" t="str">
        <f>HYPERLINK("http://141.218.60.56/~jnz1568/getInfo.php?workbook=16_14.xlsx&amp;sheet=A0&amp;row=301&amp;col=7&amp;number=&amp;sourceID=48","")</f>
        <v/>
      </c>
      <c r="H301" s="4" t="str">
        <f>HYPERLINK("http://141.218.60.56/~jnz1568/getInfo.php?workbook=16_14.xlsx&amp;sheet=A0&amp;row=301&amp;col=8&amp;number=&amp;sourceID=48","")</f>
        <v/>
      </c>
      <c r="I301" s="4" t="str">
        <f>HYPERLINK("http://141.218.60.56/~jnz1568/getInfo.php?workbook=16_14.xlsx&amp;sheet=A0&amp;row=301&amp;col=9&amp;number=&amp;sourceID=48","")</f>
        <v/>
      </c>
      <c r="J301" s="4" t="str">
        <f>HYPERLINK("http://141.218.60.56/~jnz1568/getInfo.php?workbook=16_14.xlsx&amp;sheet=A0&amp;row=301&amp;col=10&amp;number=&amp;sourceID=49","")</f>
        <v/>
      </c>
      <c r="K301" s="4" t="str">
        <f>HYPERLINK("http://141.218.60.56/~jnz1568/getInfo.php?workbook=16_14.xlsx&amp;sheet=A0&amp;row=301&amp;col=11&amp;number=&amp;sourceID=49","")</f>
        <v/>
      </c>
    </row>
    <row r="302" spans="1:11">
      <c r="A302" s="3">
        <v>16</v>
      </c>
      <c r="B302" s="3">
        <v>14</v>
      </c>
      <c r="C302" s="3">
        <v>41</v>
      </c>
      <c r="D302" s="3">
        <v>17</v>
      </c>
      <c r="E302" s="3"/>
      <c r="F302" s="4" t="str">
        <f>HYPERLINK("http://141.218.60.56/~jnz1568/getInfo.php?workbook=16_14.xlsx&amp;sheet=A0&amp;row=302&amp;col=6&amp;number=5851.9&amp;sourceID=48","5851.9")</f>
        <v>5851.9</v>
      </c>
      <c r="G302" s="4" t="str">
        <f>HYPERLINK("http://141.218.60.56/~jnz1568/getInfo.php?workbook=16_14.xlsx&amp;sheet=A0&amp;row=302&amp;col=7&amp;number=&amp;sourceID=48","")</f>
        <v/>
      </c>
      <c r="H302" s="4" t="str">
        <f>HYPERLINK("http://141.218.60.56/~jnz1568/getInfo.php?workbook=16_14.xlsx&amp;sheet=A0&amp;row=302&amp;col=8&amp;number=&amp;sourceID=48","")</f>
        <v/>
      </c>
      <c r="I302" s="4" t="str">
        <f>HYPERLINK("http://141.218.60.56/~jnz1568/getInfo.php?workbook=16_14.xlsx&amp;sheet=A0&amp;row=302&amp;col=9&amp;number=&amp;sourceID=48","")</f>
        <v/>
      </c>
      <c r="J302" s="4" t="str">
        <f>HYPERLINK("http://141.218.60.56/~jnz1568/getInfo.php?workbook=16_14.xlsx&amp;sheet=A0&amp;row=302&amp;col=10&amp;number=&amp;sourceID=49","")</f>
        <v/>
      </c>
      <c r="K302" s="4" t="str">
        <f>HYPERLINK("http://141.218.60.56/~jnz1568/getInfo.php?workbook=16_14.xlsx&amp;sheet=A0&amp;row=302&amp;col=11&amp;number=&amp;sourceID=49","")</f>
        <v/>
      </c>
    </row>
    <row r="303" spans="1:11">
      <c r="A303" s="3">
        <v>16</v>
      </c>
      <c r="B303" s="3">
        <v>14</v>
      </c>
      <c r="C303" s="3">
        <v>41</v>
      </c>
      <c r="D303" s="3">
        <v>18</v>
      </c>
      <c r="E303" s="3"/>
      <c r="F303" s="4" t="str">
        <f>HYPERLINK("http://141.218.60.56/~jnz1568/getInfo.php?workbook=16_14.xlsx&amp;sheet=A0&amp;row=303&amp;col=6&amp;number=5321400&amp;sourceID=48","5321400")</f>
        <v>5321400</v>
      </c>
      <c r="G303" s="4" t="str">
        <f>HYPERLINK("http://141.218.60.56/~jnz1568/getInfo.php?workbook=16_14.xlsx&amp;sheet=A0&amp;row=303&amp;col=7&amp;number=&amp;sourceID=48","")</f>
        <v/>
      </c>
      <c r="H303" s="4" t="str">
        <f>HYPERLINK("http://141.218.60.56/~jnz1568/getInfo.php?workbook=16_14.xlsx&amp;sheet=A0&amp;row=303&amp;col=8&amp;number=&amp;sourceID=48","")</f>
        <v/>
      </c>
      <c r="I303" s="4" t="str">
        <f>HYPERLINK("http://141.218.60.56/~jnz1568/getInfo.php?workbook=16_14.xlsx&amp;sheet=A0&amp;row=303&amp;col=9&amp;number=&amp;sourceID=48","")</f>
        <v/>
      </c>
      <c r="J303" s="4" t="str">
        <f>HYPERLINK("http://141.218.60.56/~jnz1568/getInfo.php?workbook=16_14.xlsx&amp;sheet=A0&amp;row=303&amp;col=10&amp;number=&amp;sourceID=49","")</f>
        <v/>
      </c>
      <c r="K303" s="4" t="str">
        <f>HYPERLINK("http://141.218.60.56/~jnz1568/getInfo.php?workbook=16_14.xlsx&amp;sheet=A0&amp;row=303&amp;col=11&amp;number=&amp;sourceID=49","")</f>
        <v/>
      </c>
    </row>
    <row r="304" spans="1:11">
      <c r="A304" s="3">
        <v>16</v>
      </c>
      <c r="B304" s="3">
        <v>14</v>
      </c>
      <c r="C304" s="3">
        <v>41</v>
      </c>
      <c r="D304" s="3">
        <v>20</v>
      </c>
      <c r="E304" s="3"/>
      <c r="F304" s="4" t="str">
        <f>HYPERLINK("http://141.218.60.56/~jnz1568/getInfo.php?workbook=16_14.xlsx&amp;sheet=A0&amp;row=304&amp;col=6&amp;number=2237800&amp;sourceID=48","2237800")</f>
        <v>2237800</v>
      </c>
      <c r="G304" s="4" t="str">
        <f>HYPERLINK("http://141.218.60.56/~jnz1568/getInfo.php?workbook=16_14.xlsx&amp;sheet=A0&amp;row=304&amp;col=7&amp;number=&amp;sourceID=48","")</f>
        <v/>
      </c>
      <c r="H304" s="4" t="str">
        <f>HYPERLINK("http://141.218.60.56/~jnz1568/getInfo.php?workbook=16_14.xlsx&amp;sheet=A0&amp;row=304&amp;col=8&amp;number=&amp;sourceID=48","")</f>
        <v/>
      </c>
      <c r="I304" s="4" t="str">
        <f>HYPERLINK("http://141.218.60.56/~jnz1568/getInfo.php?workbook=16_14.xlsx&amp;sheet=A0&amp;row=304&amp;col=9&amp;number=&amp;sourceID=48","")</f>
        <v/>
      </c>
      <c r="J304" s="4" t="str">
        <f>HYPERLINK("http://141.218.60.56/~jnz1568/getInfo.php?workbook=16_14.xlsx&amp;sheet=A0&amp;row=304&amp;col=10&amp;number=&amp;sourceID=49","")</f>
        <v/>
      </c>
      <c r="K304" s="4" t="str">
        <f>HYPERLINK("http://141.218.60.56/~jnz1568/getInfo.php?workbook=16_14.xlsx&amp;sheet=A0&amp;row=304&amp;col=11&amp;number=&amp;sourceID=49","")</f>
        <v/>
      </c>
    </row>
    <row r="305" spans="1:11">
      <c r="A305" s="3">
        <v>16</v>
      </c>
      <c r="B305" s="3">
        <v>14</v>
      </c>
      <c r="C305" s="3">
        <v>41</v>
      </c>
      <c r="D305" s="3">
        <v>21</v>
      </c>
      <c r="E305" s="3"/>
      <c r="F305" s="4" t="str">
        <f>HYPERLINK("http://141.218.60.56/~jnz1568/getInfo.php?workbook=16_14.xlsx&amp;sheet=A0&amp;row=305&amp;col=6&amp;number=6298800&amp;sourceID=48","6298800")</f>
        <v>6298800</v>
      </c>
      <c r="G305" s="4" t="str">
        <f>HYPERLINK("http://141.218.60.56/~jnz1568/getInfo.php?workbook=16_14.xlsx&amp;sheet=A0&amp;row=305&amp;col=7&amp;number=&amp;sourceID=48","")</f>
        <v/>
      </c>
      <c r="H305" s="4" t="str">
        <f>HYPERLINK("http://141.218.60.56/~jnz1568/getInfo.php?workbook=16_14.xlsx&amp;sheet=A0&amp;row=305&amp;col=8&amp;number=&amp;sourceID=48","")</f>
        <v/>
      </c>
      <c r="I305" s="4" t="str">
        <f>HYPERLINK("http://141.218.60.56/~jnz1568/getInfo.php?workbook=16_14.xlsx&amp;sheet=A0&amp;row=305&amp;col=9&amp;number=&amp;sourceID=48","")</f>
        <v/>
      </c>
      <c r="J305" s="4" t="str">
        <f>HYPERLINK("http://141.218.60.56/~jnz1568/getInfo.php?workbook=16_14.xlsx&amp;sheet=A0&amp;row=305&amp;col=10&amp;number=&amp;sourceID=49","")</f>
        <v/>
      </c>
      <c r="K305" s="4" t="str">
        <f>HYPERLINK("http://141.218.60.56/~jnz1568/getInfo.php?workbook=16_14.xlsx&amp;sheet=A0&amp;row=305&amp;col=11&amp;number=&amp;sourceID=49","")</f>
        <v/>
      </c>
    </row>
    <row r="306" spans="1:11">
      <c r="A306" s="3">
        <v>16</v>
      </c>
      <c r="B306" s="3">
        <v>14</v>
      </c>
      <c r="C306" s="3">
        <v>41</v>
      </c>
      <c r="D306" s="3">
        <v>23</v>
      </c>
      <c r="E306" s="3"/>
      <c r="F306" s="4" t="str">
        <f>HYPERLINK("http://141.218.60.56/~jnz1568/getInfo.php?workbook=16_14.xlsx&amp;sheet=A0&amp;row=306&amp;col=6&amp;number=140630&amp;sourceID=48","140630")</f>
        <v>140630</v>
      </c>
      <c r="G306" s="4" t="str">
        <f>HYPERLINK("http://141.218.60.56/~jnz1568/getInfo.php?workbook=16_14.xlsx&amp;sheet=A0&amp;row=306&amp;col=7&amp;number=&amp;sourceID=48","")</f>
        <v/>
      </c>
      <c r="H306" s="4" t="str">
        <f>HYPERLINK("http://141.218.60.56/~jnz1568/getInfo.php?workbook=16_14.xlsx&amp;sheet=A0&amp;row=306&amp;col=8&amp;number=&amp;sourceID=48","")</f>
        <v/>
      </c>
      <c r="I306" s="4" t="str">
        <f>HYPERLINK("http://141.218.60.56/~jnz1568/getInfo.php?workbook=16_14.xlsx&amp;sheet=A0&amp;row=306&amp;col=9&amp;number=&amp;sourceID=48","")</f>
        <v/>
      </c>
      <c r="J306" s="4" t="str">
        <f>HYPERLINK("http://141.218.60.56/~jnz1568/getInfo.php?workbook=16_14.xlsx&amp;sheet=A0&amp;row=306&amp;col=10&amp;number=&amp;sourceID=49","")</f>
        <v/>
      </c>
      <c r="K306" s="4" t="str">
        <f>HYPERLINK("http://141.218.60.56/~jnz1568/getInfo.php?workbook=16_14.xlsx&amp;sheet=A0&amp;row=306&amp;col=11&amp;number=&amp;sourceID=49","")</f>
        <v/>
      </c>
    </row>
    <row r="307" spans="1:11">
      <c r="A307" s="3">
        <v>16</v>
      </c>
      <c r="B307" s="3">
        <v>14</v>
      </c>
      <c r="C307" s="3">
        <v>41</v>
      </c>
      <c r="D307" s="3">
        <v>24</v>
      </c>
      <c r="E307" s="3"/>
      <c r="F307" s="4" t="str">
        <f>HYPERLINK("http://141.218.60.56/~jnz1568/getInfo.php?workbook=16_14.xlsx&amp;sheet=A0&amp;row=307&amp;col=6&amp;number=1098000&amp;sourceID=48","1098000")</f>
        <v>1098000</v>
      </c>
      <c r="G307" s="4" t="str">
        <f>HYPERLINK("http://141.218.60.56/~jnz1568/getInfo.php?workbook=16_14.xlsx&amp;sheet=A0&amp;row=307&amp;col=7&amp;number=&amp;sourceID=48","")</f>
        <v/>
      </c>
      <c r="H307" s="4" t="str">
        <f>HYPERLINK("http://141.218.60.56/~jnz1568/getInfo.php?workbook=16_14.xlsx&amp;sheet=A0&amp;row=307&amp;col=8&amp;number=&amp;sourceID=48","")</f>
        <v/>
      </c>
      <c r="I307" s="4" t="str">
        <f>HYPERLINK("http://141.218.60.56/~jnz1568/getInfo.php?workbook=16_14.xlsx&amp;sheet=A0&amp;row=307&amp;col=9&amp;number=&amp;sourceID=48","")</f>
        <v/>
      </c>
      <c r="J307" s="4" t="str">
        <f>HYPERLINK("http://141.218.60.56/~jnz1568/getInfo.php?workbook=16_14.xlsx&amp;sheet=A0&amp;row=307&amp;col=10&amp;number=&amp;sourceID=49","")</f>
        <v/>
      </c>
      <c r="K307" s="4" t="str">
        <f>HYPERLINK("http://141.218.60.56/~jnz1568/getInfo.php?workbook=16_14.xlsx&amp;sheet=A0&amp;row=307&amp;col=11&amp;number=&amp;sourceID=49","")</f>
        <v/>
      </c>
    </row>
    <row r="308" spans="1:11">
      <c r="A308" s="3">
        <v>16</v>
      </c>
      <c r="B308" s="3">
        <v>14</v>
      </c>
      <c r="C308" s="3">
        <v>41</v>
      </c>
      <c r="D308" s="3">
        <v>25</v>
      </c>
      <c r="E308" s="3"/>
      <c r="F308" s="4" t="str">
        <f>HYPERLINK("http://141.218.60.56/~jnz1568/getInfo.php?workbook=16_14.xlsx&amp;sheet=A0&amp;row=308&amp;col=6&amp;number=1928.8&amp;sourceID=48","1928.8")</f>
        <v>1928.8</v>
      </c>
      <c r="G308" s="4" t="str">
        <f>HYPERLINK("http://141.218.60.56/~jnz1568/getInfo.php?workbook=16_14.xlsx&amp;sheet=A0&amp;row=308&amp;col=7&amp;number=&amp;sourceID=48","")</f>
        <v/>
      </c>
      <c r="H308" s="4" t="str">
        <f>HYPERLINK("http://141.218.60.56/~jnz1568/getInfo.php?workbook=16_14.xlsx&amp;sheet=A0&amp;row=308&amp;col=8&amp;number=&amp;sourceID=48","")</f>
        <v/>
      </c>
      <c r="I308" s="4" t="str">
        <f>HYPERLINK("http://141.218.60.56/~jnz1568/getInfo.php?workbook=16_14.xlsx&amp;sheet=A0&amp;row=308&amp;col=9&amp;number=&amp;sourceID=48","")</f>
        <v/>
      </c>
      <c r="J308" s="4" t="str">
        <f>HYPERLINK("http://141.218.60.56/~jnz1568/getInfo.php?workbook=16_14.xlsx&amp;sheet=A0&amp;row=308&amp;col=10&amp;number=&amp;sourceID=49","")</f>
        <v/>
      </c>
      <c r="K308" s="4" t="str">
        <f>HYPERLINK("http://141.218.60.56/~jnz1568/getInfo.php?workbook=16_14.xlsx&amp;sheet=A0&amp;row=308&amp;col=11&amp;number=&amp;sourceID=49","")</f>
        <v/>
      </c>
    </row>
    <row r="309" spans="1:11">
      <c r="A309" s="3">
        <v>16</v>
      </c>
      <c r="B309" s="3">
        <v>14</v>
      </c>
      <c r="C309" s="3">
        <v>41</v>
      </c>
      <c r="D309" s="3">
        <v>26</v>
      </c>
      <c r="E309" s="3"/>
      <c r="F309" s="4" t="str">
        <f>HYPERLINK("http://141.218.60.56/~jnz1568/getInfo.php?workbook=16_14.xlsx&amp;sheet=A0&amp;row=309&amp;col=6&amp;number=44029&amp;sourceID=48","44029")</f>
        <v>44029</v>
      </c>
      <c r="G309" s="4" t="str">
        <f>HYPERLINK("http://141.218.60.56/~jnz1568/getInfo.php?workbook=16_14.xlsx&amp;sheet=A0&amp;row=309&amp;col=7&amp;number=&amp;sourceID=48","")</f>
        <v/>
      </c>
      <c r="H309" s="4" t="str">
        <f>HYPERLINK("http://141.218.60.56/~jnz1568/getInfo.php?workbook=16_14.xlsx&amp;sheet=A0&amp;row=309&amp;col=8&amp;number=&amp;sourceID=48","")</f>
        <v/>
      </c>
      <c r="I309" s="4" t="str">
        <f>HYPERLINK("http://141.218.60.56/~jnz1568/getInfo.php?workbook=16_14.xlsx&amp;sheet=A0&amp;row=309&amp;col=9&amp;number=&amp;sourceID=48","")</f>
        <v/>
      </c>
      <c r="J309" s="4" t="str">
        <f>HYPERLINK("http://141.218.60.56/~jnz1568/getInfo.php?workbook=16_14.xlsx&amp;sheet=A0&amp;row=309&amp;col=10&amp;number=&amp;sourceID=49","")</f>
        <v/>
      </c>
      <c r="K309" s="4" t="str">
        <f>HYPERLINK("http://141.218.60.56/~jnz1568/getInfo.php?workbook=16_14.xlsx&amp;sheet=A0&amp;row=309&amp;col=11&amp;number=&amp;sourceID=49","")</f>
        <v/>
      </c>
    </row>
    <row r="310" spans="1:11">
      <c r="A310" s="3">
        <v>16</v>
      </c>
      <c r="B310" s="3">
        <v>14</v>
      </c>
      <c r="C310" s="3">
        <v>41</v>
      </c>
      <c r="D310" s="3">
        <v>27</v>
      </c>
      <c r="E310" s="3"/>
      <c r="F310" s="4" t="str">
        <f>HYPERLINK("http://141.218.60.56/~jnz1568/getInfo.php?workbook=16_14.xlsx&amp;sheet=A0&amp;row=310&amp;col=6&amp;number=544860&amp;sourceID=48","544860")</f>
        <v>544860</v>
      </c>
      <c r="G310" s="4" t="str">
        <f>HYPERLINK("http://141.218.60.56/~jnz1568/getInfo.php?workbook=16_14.xlsx&amp;sheet=A0&amp;row=310&amp;col=7&amp;number=&amp;sourceID=48","")</f>
        <v/>
      </c>
      <c r="H310" s="4" t="str">
        <f>HYPERLINK("http://141.218.60.56/~jnz1568/getInfo.php?workbook=16_14.xlsx&amp;sheet=A0&amp;row=310&amp;col=8&amp;number=&amp;sourceID=48","")</f>
        <v/>
      </c>
      <c r="I310" s="4" t="str">
        <f>HYPERLINK("http://141.218.60.56/~jnz1568/getInfo.php?workbook=16_14.xlsx&amp;sheet=A0&amp;row=310&amp;col=9&amp;number=&amp;sourceID=48","")</f>
        <v/>
      </c>
      <c r="J310" s="4" t="str">
        <f>HYPERLINK("http://141.218.60.56/~jnz1568/getInfo.php?workbook=16_14.xlsx&amp;sheet=A0&amp;row=310&amp;col=10&amp;number=&amp;sourceID=49","")</f>
        <v/>
      </c>
      <c r="K310" s="4" t="str">
        <f>HYPERLINK("http://141.218.60.56/~jnz1568/getInfo.php?workbook=16_14.xlsx&amp;sheet=A0&amp;row=310&amp;col=11&amp;number=&amp;sourceID=49","")</f>
        <v/>
      </c>
    </row>
    <row r="311" spans="1:11">
      <c r="A311" s="3">
        <v>16</v>
      </c>
      <c r="B311" s="3">
        <v>14</v>
      </c>
      <c r="C311" s="3">
        <v>41</v>
      </c>
      <c r="D311" s="3">
        <v>28</v>
      </c>
      <c r="E311" s="3"/>
      <c r="F311" s="4" t="str">
        <f>HYPERLINK("http://141.218.60.56/~jnz1568/getInfo.php?workbook=16_14.xlsx&amp;sheet=A0&amp;row=311&amp;col=6&amp;number=132680&amp;sourceID=48","132680")</f>
        <v>132680</v>
      </c>
      <c r="G311" s="4" t="str">
        <f>HYPERLINK("http://141.218.60.56/~jnz1568/getInfo.php?workbook=16_14.xlsx&amp;sheet=A0&amp;row=311&amp;col=7&amp;number=&amp;sourceID=48","")</f>
        <v/>
      </c>
      <c r="H311" s="4" t="str">
        <f>HYPERLINK("http://141.218.60.56/~jnz1568/getInfo.php?workbook=16_14.xlsx&amp;sheet=A0&amp;row=311&amp;col=8&amp;number=&amp;sourceID=48","")</f>
        <v/>
      </c>
      <c r="I311" s="4" t="str">
        <f>HYPERLINK("http://141.218.60.56/~jnz1568/getInfo.php?workbook=16_14.xlsx&amp;sheet=A0&amp;row=311&amp;col=9&amp;number=&amp;sourceID=48","")</f>
        <v/>
      </c>
      <c r="J311" s="4" t="str">
        <f>HYPERLINK("http://141.218.60.56/~jnz1568/getInfo.php?workbook=16_14.xlsx&amp;sheet=A0&amp;row=311&amp;col=10&amp;number=&amp;sourceID=49","")</f>
        <v/>
      </c>
      <c r="K311" s="4" t="str">
        <f>HYPERLINK("http://141.218.60.56/~jnz1568/getInfo.php?workbook=16_14.xlsx&amp;sheet=A0&amp;row=311&amp;col=11&amp;number=&amp;sourceID=49","")</f>
        <v/>
      </c>
    </row>
    <row r="312" spans="1:11">
      <c r="A312" s="3">
        <v>16</v>
      </c>
      <c r="B312" s="3">
        <v>14</v>
      </c>
      <c r="C312" s="3">
        <v>41</v>
      </c>
      <c r="D312" s="3">
        <v>29</v>
      </c>
      <c r="E312" s="3"/>
      <c r="F312" s="4" t="str">
        <f>HYPERLINK("http://141.218.60.56/~jnz1568/getInfo.php?workbook=16_14.xlsx&amp;sheet=A0&amp;row=312&amp;col=6&amp;number=0.1208&amp;sourceID=48","0.1208")</f>
        <v>0.1208</v>
      </c>
      <c r="G312" s="4" t="str">
        <f>HYPERLINK("http://141.218.60.56/~jnz1568/getInfo.php?workbook=16_14.xlsx&amp;sheet=A0&amp;row=312&amp;col=7&amp;number=&amp;sourceID=48","")</f>
        <v/>
      </c>
      <c r="H312" s="4" t="str">
        <f>HYPERLINK("http://141.218.60.56/~jnz1568/getInfo.php?workbook=16_14.xlsx&amp;sheet=A0&amp;row=312&amp;col=8&amp;number=&amp;sourceID=48","")</f>
        <v/>
      </c>
      <c r="I312" s="4" t="str">
        <f>HYPERLINK("http://141.218.60.56/~jnz1568/getInfo.php?workbook=16_14.xlsx&amp;sheet=A0&amp;row=312&amp;col=9&amp;number=&amp;sourceID=48","")</f>
        <v/>
      </c>
      <c r="J312" s="4" t="str">
        <f>HYPERLINK("http://141.218.60.56/~jnz1568/getInfo.php?workbook=16_14.xlsx&amp;sheet=A0&amp;row=312&amp;col=10&amp;number=&amp;sourceID=49","")</f>
        <v/>
      </c>
      <c r="K312" s="4" t="str">
        <f>HYPERLINK("http://141.218.60.56/~jnz1568/getInfo.php?workbook=16_14.xlsx&amp;sheet=A0&amp;row=312&amp;col=11&amp;number=&amp;sourceID=49","")</f>
        <v/>
      </c>
    </row>
    <row r="313" spans="1:11">
      <c r="A313" s="3">
        <v>16</v>
      </c>
      <c r="B313" s="3">
        <v>14</v>
      </c>
      <c r="C313" s="3">
        <v>41</v>
      </c>
      <c r="D313" s="3">
        <v>30</v>
      </c>
      <c r="E313" s="3"/>
      <c r="F313" s="4" t="str">
        <f>HYPERLINK("http://141.218.60.56/~jnz1568/getInfo.php?workbook=16_14.xlsx&amp;sheet=A0&amp;row=313&amp;col=6&amp;number=10009&amp;sourceID=48","10009")</f>
        <v>10009</v>
      </c>
      <c r="G313" s="4" t="str">
        <f>HYPERLINK("http://141.218.60.56/~jnz1568/getInfo.php?workbook=16_14.xlsx&amp;sheet=A0&amp;row=313&amp;col=7&amp;number=&amp;sourceID=48","")</f>
        <v/>
      </c>
      <c r="H313" s="4" t="str">
        <f>HYPERLINK("http://141.218.60.56/~jnz1568/getInfo.php?workbook=16_14.xlsx&amp;sheet=A0&amp;row=313&amp;col=8&amp;number=&amp;sourceID=48","")</f>
        <v/>
      </c>
      <c r="I313" s="4" t="str">
        <f>HYPERLINK("http://141.218.60.56/~jnz1568/getInfo.php?workbook=16_14.xlsx&amp;sheet=A0&amp;row=313&amp;col=9&amp;number=&amp;sourceID=48","")</f>
        <v/>
      </c>
      <c r="J313" s="4" t="str">
        <f>HYPERLINK("http://141.218.60.56/~jnz1568/getInfo.php?workbook=16_14.xlsx&amp;sheet=A0&amp;row=313&amp;col=10&amp;number=&amp;sourceID=49","")</f>
        <v/>
      </c>
      <c r="K313" s="4" t="str">
        <f>HYPERLINK("http://141.218.60.56/~jnz1568/getInfo.php?workbook=16_14.xlsx&amp;sheet=A0&amp;row=313&amp;col=11&amp;number=&amp;sourceID=49","")</f>
        <v/>
      </c>
    </row>
    <row r="314" spans="1:11">
      <c r="A314" s="3">
        <v>16</v>
      </c>
      <c r="B314" s="3">
        <v>14</v>
      </c>
      <c r="C314" s="3">
        <v>41</v>
      </c>
      <c r="D314" s="3">
        <v>31</v>
      </c>
      <c r="E314" s="3"/>
      <c r="F314" s="4" t="str">
        <f>HYPERLINK("http://141.218.60.56/~jnz1568/getInfo.php?workbook=16_14.xlsx&amp;sheet=A0&amp;row=314&amp;col=6&amp;number=98.091&amp;sourceID=48","98.091")</f>
        <v>98.091</v>
      </c>
      <c r="G314" s="4" t="str">
        <f>HYPERLINK("http://141.218.60.56/~jnz1568/getInfo.php?workbook=16_14.xlsx&amp;sheet=A0&amp;row=314&amp;col=7&amp;number=&amp;sourceID=48","")</f>
        <v/>
      </c>
      <c r="H314" s="4" t="str">
        <f>HYPERLINK("http://141.218.60.56/~jnz1568/getInfo.php?workbook=16_14.xlsx&amp;sheet=A0&amp;row=314&amp;col=8&amp;number=&amp;sourceID=48","")</f>
        <v/>
      </c>
      <c r="I314" s="4" t="str">
        <f>HYPERLINK("http://141.218.60.56/~jnz1568/getInfo.php?workbook=16_14.xlsx&amp;sheet=A0&amp;row=314&amp;col=9&amp;number=&amp;sourceID=48","")</f>
        <v/>
      </c>
      <c r="J314" s="4" t="str">
        <f>HYPERLINK("http://141.218.60.56/~jnz1568/getInfo.php?workbook=16_14.xlsx&amp;sheet=A0&amp;row=314&amp;col=10&amp;number=&amp;sourceID=49","")</f>
        <v/>
      </c>
      <c r="K314" s="4" t="str">
        <f>HYPERLINK("http://141.218.60.56/~jnz1568/getInfo.php?workbook=16_14.xlsx&amp;sheet=A0&amp;row=314&amp;col=11&amp;number=&amp;sourceID=49","")</f>
        <v/>
      </c>
    </row>
    <row r="315" spans="1:11">
      <c r="A315" s="3">
        <v>16</v>
      </c>
      <c r="B315" s="3">
        <v>14</v>
      </c>
      <c r="C315" s="3">
        <v>42</v>
      </c>
      <c r="D315" s="3">
        <v>6</v>
      </c>
      <c r="E315" s="3"/>
      <c r="F315" s="4" t="str">
        <f>HYPERLINK("http://141.218.60.56/~jnz1568/getInfo.php?workbook=16_14.xlsx&amp;sheet=A0&amp;row=315&amp;col=6&amp;number=2859.2&amp;sourceID=48","2859.2")</f>
        <v>2859.2</v>
      </c>
      <c r="G315" s="4" t="str">
        <f>HYPERLINK("http://141.218.60.56/~jnz1568/getInfo.php?workbook=16_14.xlsx&amp;sheet=A0&amp;row=315&amp;col=7&amp;number=&amp;sourceID=48","")</f>
        <v/>
      </c>
      <c r="H315" s="4" t="str">
        <f>HYPERLINK("http://141.218.60.56/~jnz1568/getInfo.php?workbook=16_14.xlsx&amp;sheet=A0&amp;row=315&amp;col=8&amp;number=&amp;sourceID=48","")</f>
        <v/>
      </c>
      <c r="I315" s="4" t="str">
        <f>HYPERLINK("http://141.218.60.56/~jnz1568/getInfo.php?workbook=16_14.xlsx&amp;sheet=A0&amp;row=315&amp;col=9&amp;number=&amp;sourceID=48","")</f>
        <v/>
      </c>
      <c r="J315" s="4" t="str">
        <f>HYPERLINK("http://141.218.60.56/~jnz1568/getInfo.php?workbook=16_14.xlsx&amp;sheet=A0&amp;row=315&amp;col=10&amp;number=&amp;sourceID=49","")</f>
        <v/>
      </c>
      <c r="K315" s="4" t="str">
        <f>HYPERLINK("http://141.218.60.56/~jnz1568/getInfo.php?workbook=16_14.xlsx&amp;sheet=A0&amp;row=315&amp;col=11&amp;number=&amp;sourceID=49","")</f>
        <v/>
      </c>
    </row>
    <row r="316" spans="1:11">
      <c r="A316" s="3">
        <v>16</v>
      </c>
      <c r="B316" s="3">
        <v>14</v>
      </c>
      <c r="C316" s="3">
        <v>42</v>
      </c>
      <c r="D316" s="3">
        <v>7</v>
      </c>
      <c r="E316" s="3"/>
      <c r="F316" s="4" t="str">
        <f>HYPERLINK("http://141.218.60.56/~jnz1568/getInfo.php?workbook=16_14.xlsx&amp;sheet=A0&amp;row=316&amp;col=6&amp;number=111540000&amp;sourceID=48","111540000")</f>
        <v>111540000</v>
      </c>
      <c r="G316" s="4" t="str">
        <f>HYPERLINK("http://141.218.60.56/~jnz1568/getInfo.php?workbook=16_14.xlsx&amp;sheet=A0&amp;row=316&amp;col=7&amp;number=&amp;sourceID=48","")</f>
        <v/>
      </c>
      <c r="H316" s="4" t="str">
        <f>HYPERLINK("http://141.218.60.56/~jnz1568/getInfo.php?workbook=16_14.xlsx&amp;sheet=A0&amp;row=316&amp;col=8&amp;number=&amp;sourceID=48","")</f>
        <v/>
      </c>
      <c r="I316" s="4" t="str">
        <f>HYPERLINK("http://141.218.60.56/~jnz1568/getInfo.php?workbook=16_14.xlsx&amp;sheet=A0&amp;row=316&amp;col=9&amp;number=&amp;sourceID=48","")</f>
        <v/>
      </c>
      <c r="J316" s="4" t="str">
        <f>HYPERLINK("http://141.218.60.56/~jnz1568/getInfo.php?workbook=16_14.xlsx&amp;sheet=A0&amp;row=316&amp;col=10&amp;number=&amp;sourceID=49","")</f>
        <v/>
      </c>
      <c r="K316" s="4" t="str">
        <f>HYPERLINK("http://141.218.60.56/~jnz1568/getInfo.php?workbook=16_14.xlsx&amp;sheet=A0&amp;row=316&amp;col=11&amp;number=&amp;sourceID=49","")</f>
        <v/>
      </c>
    </row>
    <row r="317" spans="1:11">
      <c r="A317" s="3">
        <v>16</v>
      </c>
      <c r="B317" s="3">
        <v>14</v>
      </c>
      <c r="C317" s="3">
        <v>42</v>
      </c>
      <c r="D317" s="3">
        <v>8</v>
      </c>
      <c r="E317" s="3"/>
      <c r="F317" s="4" t="str">
        <f>HYPERLINK("http://141.218.60.56/~jnz1568/getInfo.php?workbook=16_14.xlsx&amp;sheet=A0&amp;row=317&amp;col=6&amp;number=342520000&amp;sourceID=48","342520000")</f>
        <v>342520000</v>
      </c>
      <c r="G317" s="4" t="str">
        <f>HYPERLINK("http://141.218.60.56/~jnz1568/getInfo.php?workbook=16_14.xlsx&amp;sheet=A0&amp;row=317&amp;col=7&amp;number=&amp;sourceID=48","")</f>
        <v/>
      </c>
      <c r="H317" s="4" t="str">
        <f>HYPERLINK("http://141.218.60.56/~jnz1568/getInfo.php?workbook=16_14.xlsx&amp;sheet=A0&amp;row=317&amp;col=8&amp;number=&amp;sourceID=48","")</f>
        <v/>
      </c>
      <c r="I317" s="4" t="str">
        <f>HYPERLINK("http://141.218.60.56/~jnz1568/getInfo.php?workbook=16_14.xlsx&amp;sheet=A0&amp;row=317&amp;col=9&amp;number=&amp;sourceID=48","")</f>
        <v/>
      </c>
      <c r="J317" s="4" t="str">
        <f>HYPERLINK("http://141.218.60.56/~jnz1568/getInfo.php?workbook=16_14.xlsx&amp;sheet=A0&amp;row=317&amp;col=10&amp;number=&amp;sourceID=49","")</f>
        <v/>
      </c>
      <c r="K317" s="4" t="str">
        <f>HYPERLINK("http://141.218.60.56/~jnz1568/getInfo.php?workbook=16_14.xlsx&amp;sheet=A0&amp;row=317&amp;col=11&amp;number=&amp;sourceID=49","")</f>
        <v/>
      </c>
    </row>
    <row r="318" spans="1:11">
      <c r="A318" s="3">
        <v>16</v>
      </c>
      <c r="B318" s="3">
        <v>14</v>
      </c>
      <c r="C318" s="3">
        <v>42</v>
      </c>
      <c r="D318" s="3">
        <v>10</v>
      </c>
      <c r="E318" s="3"/>
      <c r="F318" s="4" t="str">
        <f>HYPERLINK("http://141.218.60.56/~jnz1568/getInfo.php?workbook=16_14.xlsx&amp;sheet=A0&amp;row=318&amp;col=6&amp;number=1465900&amp;sourceID=48","1465900")</f>
        <v>1465900</v>
      </c>
      <c r="G318" s="4" t="str">
        <f>HYPERLINK("http://141.218.60.56/~jnz1568/getInfo.php?workbook=16_14.xlsx&amp;sheet=A0&amp;row=318&amp;col=7&amp;number=&amp;sourceID=48","")</f>
        <v/>
      </c>
      <c r="H318" s="4" t="str">
        <f>HYPERLINK("http://141.218.60.56/~jnz1568/getInfo.php?workbook=16_14.xlsx&amp;sheet=A0&amp;row=318&amp;col=8&amp;number=&amp;sourceID=48","")</f>
        <v/>
      </c>
      <c r="I318" s="4" t="str">
        <f>HYPERLINK("http://141.218.60.56/~jnz1568/getInfo.php?workbook=16_14.xlsx&amp;sheet=A0&amp;row=318&amp;col=9&amp;number=&amp;sourceID=48","")</f>
        <v/>
      </c>
      <c r="J318" s="4" t="str">
        <f>HYPERLINK("http://141.218.60.56/~jnz1568/getInfo.php?workbook=16_14.xlsx&amp;sheet=A0&amp;row=318&amp;col=10&amp;number=&amp;sourceID=49","")</f>
        <v/>
      </c>
      <c r="K318" s="4" t="str">
        <f>HYPERLINK("http://141.218.60.56/~jnz1568/getInfo.php?workbook=16_14.xlsx&amp;sheet=A0&amp;row=318&amp;col=11&amp;number=&amp;sourceID=49","")</f>
        <v/>
      </c>
    </row>
    <row r="319" spans="1:11">
      <c r="A319" s="3">
        <v>16</v>
      </c>
      <c r="B319" s="3">
        <v>14</v>
      </c>
      <c r="C319" s="3">
        <v>42</v>
      </c>
      <c r="D319" s="3">
        <v>11</v>
      </c>
      <c r="E319" s="3"/>
      <c r="F319" s="4" t="str">
        <f>HYPERLINK("http://141.218.60.56/~jnz1568/getInfo.php?workbook=16_14.xlsx&amp;sheet=A0&amp;row=319&amp;col=6&amp;number=151250&amp;sourceID=48","151250")</f>
        <v>151250</v>
      </c>
      <c r="G319" s="4" t="str">
        <f>HYPERLINK("http://141.218.60.56/~jnz1568/getInfo.php?workbook=16_14.xlsx&amp;sheet=A0&amp;row=319&amp;col=7&amp;number=&amp;sourceID=48","")</f>
        <v/>
      </c>
      <c r="H319" s="4" t="str">
        <f>HYPERLINK("http://141.218.60.56/~jnz1568/getInfo.php?workbook=16_14.xlsx&amp;sheet=A0&amp;row=319&amp;col=8&amp;number=&amp;sourceID=48","")</f>
        <v/>
      </c>
      <c r="I319" s="4" t="str">
        <f>HYPERLINK("http://141.218.60.56/~jnz1568/getInfo.php?workbook=16_14.xlsx&amp;sheet=A0&amp;row=319&amp;col=9&amp;number=&amp;sourceID=48","")</f>
        <v/>
      </c>
      <c r="J319" s="4" t="str">
        <f>HYPERLINK("http://141.218.60.56/~jnz1568/getInfo.php?workbook=16_14.xlsx&amp;sheet=A0&amp;row=319&amp;col=10&amp;number=&amp;sourceID=49","")</f>
        <v/>
      </c>
      <c r="K319" s="4" t="str">
        <f>HYPERLINK("http://141.218.60.56/~jnz1568/getInfo.php?workbook=16_14.xlsx&amp;sheet=A0&amp;row=319&amp;col=11&amp;number=&amp;sourceID=49","")</f>
        <v/>
      </c>
    </row>
    <row r="320" spans="1:11">
      <c r="A320" s="3">
        <v>16</v>
      </c>
      <c r="B320" s="3">
        <v>14</v>
      </c>
      <c r="C320" s="3">
        <v>42</v>
      </c>
      <c r="D320" s="3">
        <v>12</v>
      </c>
      <c r="E320" s="3"/>
      <c r="F320" s="4" t="str">
        <f>HYPERLINK("http://141.218.60.56/~jnz1568/getInfo.php?workbook=16_14.xlsx&amp;sheet=A0&amp;row=320&amp;col=6&amp;number=372770&amp;sourceID=48","372770")</f>
        <v>372770</v>
      </c>
      <c r="G320" s="4" t="str">
        <f>HYPERLINK("http://141.218.60.56/~jnz1568/getInfo.php?workbook=16_14.xlsx&amp;sheet=A0&amp;row=320&amp;col=7&amp;number=&amp;sourceID=48","")</f>
        <v/>
      </c>
      <c r="H320" s="4" t="str">
        <f>HYPERLINK("http://141.218.60.56/~jnz1568/getInfo.php?workbook=16_14.xlsx&amp;sheet=A0&amp;row=320&amp;col=8&amp;number=&amp;sourceID=48","")</f>
        <v/>
      </c>
      <c r="I320" s="4" t="str">
        <f>HYPERLINK("http://141.218.60.56/~jnz1568/getInfo.php?workbook=16_14.xlsx&amp;sheet=A0&amp;row=320&amp;col=9&amp;number=&amp;sourceID=48","")</f>
        <v/>
      </c>
      <c r="J320" s="4" t="str">
        <f>HYPERLINK("http://141.218.60.56/~jnz1568/getInfo.php?workbook=16_14.xlsx&amp;sheet=A0&amp;row=320&amp;col=10&amp;number=&amp;sourceID=49","")</f>
        <v/>
      </c>
      <c r="K320" s="4" t="str">
        <f>HYPERLINK("http://141.218.60.56/~jnz1568/getInfo.php?workbook=16_14.xlsx&amp;sheet=A0&amp;row=320&amp;col=11&amp;number=&amp;sourceID=49","")</f>
        <v/>
      </c>
    </row>
    <row r="321" spans="1:11">
      <c r="A321" s="3">
        <v>16</v>
      </c>
      <c r="B321" s="3">
        <v>14</v>
      </c>
      <c r="C321" s="3">
        <v>42</v>
      </c>
      <c r="D321" s="3">
        <v>13</v>
      </c>
      <c r="E321" s="3"/>
      <c r="F321" s="4" t="str">
        <f>HYPERLINK("http://141.218.60.56/~jnz1568/getInfo.php?workbook=16_14.xlsx&amp;sheet=A0&amp;row=321&amp;col=6&amp;number=24993&amp;sourceID=48","24993")</f>
        <v>24993</v>
      </c>
      <c r="G321" s="4" t="str">
        <f>HYPERLINK("http://141.218.60.56/~jnz1568/getInfo.php?workbook=16_14.xlsx&amp;sheet=A0&amp;row=321&amp;col=7&amp;number=&amp;sourceID=48","")</f>
        <v/>
      </c>
      <c r="H321" s="4" t="str">
        <f>HYPERLINK("http://141.218.60.56/~jnz1568/getInfo.php?workbook=16_14.xlsx&amp;sheet=A0&amp;row=321&amp;col=8&amp;number=&amp;sourceID=48","")</f>
        <v/>
      </c>
      <c r="I321" s="4" t="str">
        <f>HYPERLINK("http://141.218.60.56/~jnz1568/getInfo.php?workbook=16_14.xlsx&amp;sheet=A0&amp;row=321&amp;col=9&amp;number=&amp;sourceID=48","")</f>
        <v/>
      </c>
      <c r="J321" s="4" t="str">
        <f>HYPERLINK("http://141.218.60.56/~jnz1568/getInfo.php?workbook=16_14.xlsx&amp;sheet=A0&amp;row=321&amp;col=10&amp;number=&amp;sourceID=49","")</f>
        <v/>
      </c>
      <c r="K321" s="4" t="str">
        <f>HYPERLINK("http://141.218.60.56/~jnz1568/getInfo.php?workbook=16_14.xlsx&amp;sheet=A0&amp;row=321&amp;col=11&amp;number=&amp;sourceID=49","")</f>
        <v/>
      </c>
    </row>
    <row r="322" spans="1:11">
      <c r="A322" s="3">
        <v>16</v>
      </c>
      <c r="B322" s="3">
        <v>14</v>
      </c>
      <c r="C322" s="3">
        <v>42</v>
      </c>
      <c r="D322" s="3">
        <v>14</v>
      </c>
      <c r="E322" s="3"/>
      <c r="F322" s="4" t="str">
        <f>HYPERLINK("http://141.218.60.56/~jnz1568/getInfo.php?workbook=16_14.xlsx&amp;sheet=A0&amp;row=322&amp;col=6&amp;number=456.8&amp;sourceID=48","456.8")</f>
        <v>456.8</v>
      </c>
      <c r="G322" s="4" t="str">
        <f>HYPERLINK("http://141.218.60.56/~jnz1568/getInfo.php?workbook=16_14.xlsx&amp;sheet=A0&amp;row=322&amp;col=7&amp;number=&amp;sourceID=48","")</f>
        <v/>
      </c>
      <c r="H322" s="4" t="str">
        <f>HYPERLINK("http://141.218.60.56/~jnz1568/getInfo.php?workbook=16_14.xlsx&amp;sheet=A0&amp;row=322&amp;col=8&amp;number=&amp;sourceID=48","")</f>
        <v/>
      </c>
      <c r="I322" s="4" t="str">
        <f>HYPERLINK("http://141.218.60.56/~jnz1568/getInfo.php?workbook=16_14.xlsx&amp;sheet=A0&amp;row=322&amp;col=9&amp;number=&amp;sourceID=48","")</f>
        <v/>
      </c>
      <c r="J322" s="4" t="str">
        <f>HYPERLINK("http://141.218.60.56/~jnz1568/getInfo.php?workbook=16_14.xlsx&amp;sheet=A0&amp;row=322&amp;col=10&amp;number=&amp;sourceID=49","")</f>
        <v/>
      </c>
      <c r="K322" s="4" t="str">
        <f>HYPERLINK("http://141.218.60.56/~jnz1568/getInfo.php?workbook=16_14.xlsx&amp;sheet=A0&amp;row=322&amp;col=11&amp;number=&amp;sourceID=49","")</f>
        <v/>
      </c>
    </row>
    <row r="323" spans="1:11">
      <c r="A323" s="3">
        <v>16</v>
      </c>
      <c r="B323" s="3">
        <v>14</v>
      </c>
      <c r="C323" s="3">
        <v>42</v>
      </c>
      <c r="D323" s="3">
        <v>17</v>
      </c>
      <c r="E323" s="3"/>
      <c r="F323" s="4" t="str">
        <f>HYPERLINK("http://141.218.60.56/~jnz1568/getInfo.php?workbook=16_14.xlsx&amp;sheet=A0&amp;row=323&amp;col=6&amp;number=1210&amp;sourceID=48","1210")</f>
        <v>1210</v>
      </c>
      <c r="G323" s="4" t="str">
        <f>HYPERLINK("http://141.218.60.56/~jnz1568/getInfo.php?workbook=16_14.xlsx&amp;sheet=A0&amp;row=323&amp;col=7&amp;number=&amp;sourceID=48","")</f>
        <v/>
      </c>
      <c r="H323" s="4" t="str">
        <f>HYPERLINK("http://141.218.60.56/~jnz1568/getInfo.php?workbook=16_14.xlsx&amp;sheet=A0&amp;row=323&amp;col=8&amp;number=&amp;sourceID=48","")</f>
        <v/>
      </c>
      <c r="I323" s="4" t="str">
        <f>HYPERLINK("http://141.218.60.56/~jnz1568/getInfo.php?workbook=16_14.xlsx&amp;sheet=A0&amp;row=323&amp;col=9&amp;number=&amp;sourceID=48","")</f>
        <v/>
      </c>
      <c r="J323" s="4" t="str">
        <f>HYPERLINK("http://141.218.60.56/~jnz1568/getInfo.php?workbook=16_14.xlsx&amp;sheet=A0&amp;row=323&amp;col=10&amp;number=&amp;sourceID=49","")</f>
        <v/>
      </c>
      <c r="K323" s="4" t="str">
        <f>HYPERLINK("http://141.218.60.56/~jnz1568/getInfo.php?workbook=16_14.xlsx&amp;sheet=A0&amp;row=323&amp;col=11&amp;number=&amp;sourceID=49","")</f>
        <v/>
      </c>
    </row>
    <row r="324" spans="1:11">
      <c r="A324" s="3">
        <v>16</v>
      </c>
      <c r="B324" s="3">
        <v>14</v>
      </c>
      <c r="C324" s="3">
        <v>42</v>
      </c>
      <c r="D324" s="3">
        <v>18</v>
      </c>
      <c r="E324" s="3"/>
      <c r="F324" s="4" t="str">
        <f>HYPERLINK("http://141.218.60.56/~jnz1568/getInfo.php?workbook=16_14.xlsx&amp;sheet=A0&amp;row=324&amp;col=6&amp;number=5052800&amp;sourceID=48","5052800")</f>
        <v>5052800</v>
      </c>
      <c r="G324" s="4" t="str">
        <f>HYPERLINK("http://141.218.60.56/~jnz1568/getInfo.php?workbook=16_14.xlsx&amp;sheet=A0&amp;row=324&amp;col=7&amp;number=&amp;sourceID=48","")</f>
        <v/>
      </c>
      <c r="H324" s="4" t="str">
        <f>HYPERLINK("http://141.218.60.56/~jnz1568/getInfo.php?workbook=16_14.xlsx&amp;sheet=A0&amp;row=324&amp;col=8&amp;number=&amp;sourceID=48","")</f>
        <v/>
      </c>
      <c r="I324" s="4" t="str">
        <f>HYPERLINK("http://141.218.60.56/~jnz1568/getInfo.php?workbook=16_14.xlsx&amp;sheet=A0&amp;row=324&amp;col=9&amp;number=&amp;sourceID=48","")</f>
        <v/>
      </c>
      <c r="J324" s="4" t="str">
        <f>HYPERLINK("http://141.218.60.56/~jnz1568/getInfo.php?workbook=16_14.xlsx&amp;sheet=A0&amp;row=324&amp;col=10&amp;number=&amp;sourceID=49","")</f>
        <v/>
      </c>
      <c r="K324" s="4" t="str">
        <f>HYPERLINK("http://141.218.60.56/~jnz1568/getInfo.php?workbook=16_14.xlsx&amp;sheet=A0&amp;row=324&amp;col=11&amp;number=&amp;sourceID=49","")</f>
        <v/>
      </c>
    </row>
    <row r="325" spans="1:11">
      <c r="A325" s="3">
        <v>16</v>
      </c>
      <c r="B325" s="3">
        <v>14</v>
      </c>
      <c r="C325" s="3">
        <v>42</v>
      </c>
      <c r="D325" s="3">
        <v>19</v>
      </c>
      <c r="E325" s="3"/>
      <c r="F325" s="4" t="str">
        <f>HYPERLINK("http://141.218.60.56/~jnz1568/getInfo.php?workbook=16_14.xlsx&amp;sheet=A0&amp;row=325&amp;col=6&amp;number=2819800&amp;sourceID=48","2819800")</f>
        <v>2819800</v>
      </c>
      <c r="G325" s="4" t="str">
        <f>HYPERLINK("http://141.218.60.56/~jnz1568/getInfo.php?workbook=16_14.xlsx&amp;sheet=A0&amp;row=325&amp;col=7&amp;number=&amp;sourceID=48","")</f>
        <v/>
      </c>
      <c r="H325" s="4" t="str">
        <f>HYPERLINK("http://141.218.60.56/~jnz1568/getInfo.php?workbook=16_14.xlsx&amp;sheet=A0&amp;row=325&amp;col=8&amp;number=&amp;sourceID=48","")</f>
        <v/>
      </c>
      <c r="I325" s="4" t="str">
        <f>HYPERLINK("http://141.218.60.56/~jnz1568/getInfo.php?workbook=16_14.xlsx&amp;sheet=A0&amp;row=325&amp;col=9&amp;number=&amp;sourceID=48","")</f>
        <v/>
      </c>
      <c r="J325" s="4" t="str">
        <f>HYPERLINK("http://141.218.60.56/~jnz1568/getInfo.php?workbook=16_14.xlsx&amp;sheet=A0&amp;row=325&amp;col=10&amp;number=&amp;sourceID=49","")</f>
        <v/>
      </c>
      <c r="K325" s="4" t="str">
        <f>HYPERLINK("http://141.218.60.56/~jnz1568/getInfo.php?workbook=16_14.xlsx&amp;sheet=A0&amp;row=325&amp;col=11&amp;number=&amp;sourceID=49","")</f>
        <v/>
      </c>
    </row>
    <row r="326" spans="1:11">
      <c r="A326" s="3">
        <v>16</v>
      </c>
      <c r="B326" s="3">
        <v>14</v>
      </c>
      <c r="C326" s="3">
        <v>42</v>
      </c>
      <c r="D326" s="3">
        <v>20</v>
      </c>
      <c r="E326" s="3"/>
      <c r="F326" s="4" t="str">
        <f>HYPERLINK("http://141.218.60.56/~jnz1568/getInfo.php?workbook=16_14.xlsx&amp;sheet=A0&amp;row=326&amp;col=6&amp;number=2015700&amp;sourceID=48","2015700")</f>
        <v>2015700</v>
      </c>
      <c r="G326" s="4" t="str">
        <f>HYPERLINK("http://141.218.60.56/~jnz1568/getInfo.php?workbook=16_14.xlsx&amp;sheet=A0&amp;row=326&amp;col=7&amp;number=&amp;sourceID=48","")</f>
        <v/>
      </c>
      <c r="H326" s="4" t="str">
        <f>HYPERLINK("http://141.218.60.56/~jnz1568/getInfo.php?workbook=16_14.xlsx&amp;sheet=A0&amp;row=326&amp;col=8&amp;number=&amp;sourceID=48","")</f>
        <v/>
      </c>
      <c r="I326" s="4" t="str">
        <f>HYPERLINK("http://141.218.60.56/~jnz1568/getInfo.php?workbook=16_14.xlsx&amp;sheet=A0&amp;row=326&amp;col=9&amp;number=&amp;sourceID=48","")</f>
        <v/>
      </c>
      <c r="J326" s="4" t="str">
        <f>HYPERLINK("http://141.218.60.56/~jnz1568/getInfo.php?workbook=16_14.xlsx&amp;sheet=A0&amp;row=326&amp;col=10&amp;number=&amp;sourceID=49","")</f>
        <v/>
      </c>
      <c r="K326" s="4" t="str">
        <f>HYPERLINK("http://141.218.60.56/~jnz1568/getInfo.php?workbook=16_14.xlsx&amp;sheet=A0&amp;row=326&amp;col=11&amp;number=&amp;sourceID=49","")</f>
        <v/>
      </c>
    </row>
    <row r="327" spans="1:11">
      <c r="A327" s="3">
        <v>16</v>
      </c>
      <c r="B327" s="3">
        <v>14</v>
      </c>
      <c r="C327" s="3">
        <v>42</v>
      </c>
      <c r="D327" s="3">
        <v>21</v>
      </c>
      <c r="E327" s="3"/>
      <c r="F327" s="4" t="str">
        <f>HYPERLINK("http://141.218.60.56/~jnz1568/getInfo.php?workbook=16_14.xlsx&amp;sheet=A0&amp;row=327&amp;col=6&amp;number=3345700&amp;sourceID=48","3345700")</f>
        <v>3345700</v>
      </c>
      <c r="G327" s="4" t="str">
        <f>HYPERLINK("http://141.218.60.56/~jnz1568/getInfo.php?workbook=16_14.xlsx&amp;sheet=A0&amp;row=327&amp;col=7&amp;number=&amp;sourceID=48","")</f>
        <v/>
      </c>
      <c r="H327" s="4" t="str">
        <f>HYPERLINK("http://141.218.60.56/~jnz1568/getInfo.php?workbook=16_14.xlsx&amp;sheet=A0&amp;row=327&amp;col=8&amp;number=&amp;sourceID=48","")</f>
        <v/>
      </c>
      <c r="I327" s="4" t="str">
        <f>HYPERLINK("http://141.218.60.56/~jnz1568/getInfo.php?workbook=16_14.xlsx&amp;sheet=A0&amp;row=327&amp;col=9&amp;number=&amp;sourceID=48","")</f>
        <v/>
      </c>
      <c r="J327" s="4" t="str">
        <f>HYPERLINK("http://141.218.60.56/~jnz1568/getInfo.php?workbook=16_14.xlsx&amp;sheet=A0&amp;row=327&amp;col=10&amp;number=&amp;sourceID=49","")</f>
        <v/>
      </c>
      <c r="K327" s="4" t="str">
        <f>HYPERLINK("http://141.218.60.56/~jnz1568/getInfo.php?workbook=16_14.xlsx&amp;sheet=A0&amp;row=327&amp;col=11&amp;number=&amp;sourceID=49","")</f>
        <v/>
      </c>
    </row>
    <row r="328" spans="1:11">
      <c r="A328" s="3">
        <v>16</v>
      </c>
      <c r="B328" s="3">
        <v>14</v>
      </c>
      <c r="C328" s="3">
        <v>42</v>
      </c>
      <c r="D328" s="3">
        <v>22</v>
      </c>
      <c r="E328" s="3"/>
      <c r="F328" s="4" t="str">
        <f>HYPERLINK("http://141.218.60.56/~jnz1568/getInfo.php?workbook=16_14.xlsx&amp;sheet=A0&amp;row=328&amp;col=6&amp;number=160860&amp;sourceID=48","160860")</f>
        <v>160860</v>
      </c>
      <c r="G328" s="4" t="str">
        <f>HYPERLINK("http://141.218.60.56/~jnz1568/getInfo.php?workbook=16_14.xlsx&amp;sheet=A0&amp;row=328&amp;col=7&amp;number=&amp;sourceID=48","")</f>
        <v/>
      </c>
      <c r="H328" s="4" t="str">
        <f>HYPERLINK("http://141.218.60.56/~jnz1568/getInfo.php?workbook=16_14.xlsx&amp;sheet=A0&amp;row=328&amp;col=8&amp;number=&amp;sourceID=48","")</f>
        <v/>
      </c>
      <c r="I328" s="4" t="str">
        <f>HYPERLINK("http://141.218.60.56/~jnz1568/getInfo.php?workbook=16_14.xlsx&amp;sheet=A0&amp;row=328&amp;col=9&amp;number=&amp;sourceID=48","")</f>
        <v/>
      </c>
      <c r="J328" s="4" t="str">
        <f>HYPERLINK("http://141.218.60.56/~jnz1568/getInfo.php?workbook=16_14.xlsx&amp;sheet=A0&amp;row=328&amp;col=10&amp;number=&amp;sourceID=49","")</f>
        <v/>
      </c>
      <c r="K328" s="4" t="str">
        <f>HYPERLINK("http://141.218.60.56/~jnz1568/getInfo.php?workbook=16_14.xlsx&amp;sheet=A0&amp;row=328&amp;col=11&amp;number=&amp;sourceID=49","")</f>
        <v/>
      </c>
    </row>
    <row r="329" spans="1:11">
      <c r="A329" s="3">
        <v>16</v>
      </c>
      <c r="B329" s="3">
        <v>14</v>
      </c>
      <c r="C329" s="3">
        <v>42</v>
      </c>
      <c r="D329" s="3">
        <v>23</v>
      </c>
      <c r="E329" s="3"/>
      <c r="F329" s="4" t="str">
        <f>HYPERLINK("http://141.218.60.56/~jnz1568/getInfo.php?workbook=16_14.xlsx&amp;sheet=A0&amp;row=329&amp;col=6&amp;number=169000&amp;sourceID=48","169000")</f>
        <v>169000</v>
      </c>
      <c r="G329" s="4" t="str">
        <f>HYPERLINK("http://141.218.60.56/~jnz1568/getInfo.php?workbook=16_14.xlsx&amp;sheet=A0&amp;row=329&amp;col=7&amp;number=&amp;sourceID=48","")</f>
        <v/>
      </c>
      <c r="H329" s="4" t="str">
        <f>HYPERLINK("http://141.218.60.56/~jnz1568/getInfo.php?workbook=16_14.xlsx&amp;sheet=A0&amp;row=329&amp;col=8&amp;number=&amp;sourceID=48","")</f>
        <v/>
      </c>
      <c r="I329" s="4" t="str">
        <f>HYPERLINK("http://141.218.60.56/~jnz1568/getInfo.php?workbook=16_14.xlsx&amp;sheet=A0&amp;row=329&amp;col=9&amp;number=&amp;sourceID=48","")</f>
        <v/>
      </c>
      <c r="J329" s="4" t="str">
        <f>HYPERLINK("http://141.218.60.56/~jnz1568/getInfo.php?workbook=16_14.xlsx&amp;sheet=A0&amp;row=329&amp;col=10&amp;number=&amp;sourceID=49","")</f>
        <v/>
      </c>
      <c r="K329" s="4" t="str">
        <f>HYPERLINK("http://141.218.60.56/~jnz1568/getInfo.php?workbook=16_14.xlsx&amp;sheet=A0&amp;row=329&amp;col=11&amp;number=&amp;sourceID=49","")</f>
        <v/>
      </c>
    </row>
    <row r="330" spans="1:11">
      <c r="A330" s="3">
        <v>16</v>
      </c>
      <c r="B330" s="3">
        <v>14</v>
      </c>
      <c r="C330" s="3">
        <v>42</v>
      </c>
      <c r="D330" s="3">
        <v>24</v>
      </c>
      <c r="E330" s="3"/>
      <c r="F330" s="4" t="str">
        <f>HYPERLINK("http://141.218.60.56/~jnz1568/getInfo.php?workbook=16_14.xlsx&amp;sheet=A0&amp;row=330&amp;col=6&amp;number=362610&amp;sourceID=48","362610")</f>
        <v>362610</v>
      </c>
      <c r="G330" s="4" t="str">
        <f>HYPERLINK("http://141.218.60.56/~jnz1568/getInfo.php?workbook=16_14.xlsx&amp;sheet=A0&amp;row=330&amp;col=7&amp;number=&amp;sourceID=48","")</f>
        <v/>
      </c>
      <c r="H330" s="4" t="str">
        <f>HYPERLINK("http://141.218.60.56/~jnz1568/getInfo.php?workbook=16_14.xlsx&amp;sheet=A0&amp;row=330&amp;col=8&amp;number=&amp;sourceID=48","")</f>
        <v/>
      </c>
      <c r="I330" s="4" t="str">
        <f>HYPERLINK("http://141.218.60.56/~jnz1568/getInfo.php?workbook=16_14.xlsx&amp;sheet=A0&amp;row=330&amp;col=9&amp;number=&amp;sourceID=48","")</f>
        <v/>
      </c>
      <c r="J330" s="4" t="str">
        <f>HYPERLINK("http://141.218.60.56/~jnz1568/getInfo.php?workbook=16_14.xlsx&amp;sheet=A0&amp;row=330&amp;col=10&amp;number=&amp;sourceID=49","")</f>
        <v/>
      </c>
      <c r="K330" s="4" t="str">
        <f>HYPERLINK("http://141.218.60.56/~jnz1568/getInfo.php?workbook=16_14.xlsx&amp;sheet=A0&amp;row=330&amp;col=11&amp;number=&amp;sourceID=49","")</f>
        <v/>
      </c>
    </row>
    <row r="331" spans="1:11">
      <c r="A331" s="3">
        <v>16</v>
      </c>
      <c r="B331" s="3">
        <v>14</v>
      </c>
      <c r="C331" s="3">
        <v>42</v>
      </c>
      <c r="D331" s="3">
        <v>25</v>
      </c>
      <c r="E331" s="3"/>
      <c r="F331" s="4" t="str">
        <f>HYPERLINK("http://141.218.60.56/~jnz1568/getInfo.php?workbook=16_14.xlsx&amp;sheet=A0&amp;row=331&amp;col=6&amp;number=110640&amp;sourceID=48","110640")</f>
        <v>110640</v>
      </c>
      <c r="G331" s="4" t="str">
        <f>HYPERLINK("http://141.218.60.56/~jnz1568/getInfo.php?workbook=16_14.xlsx&amp;sheet=A0&amp;row=331&amp;col=7&amp;number=&amp;sourceID=48","")</f>
        <v/>
      </c>
      <c r="H331" s="4" t="str">
        <f>HYPERLINK("http://141.218.60.56/~jnz1568/getInfo.php?workbook=16_14.xlsx&amp;sheet=A0&amp;row=331&amp;col=8&amp;number=&amp;sourceID=48","")</f>
        <v/>
      </c>
      <c r="I331" s="4" t="str">
        <f>HYPERLINK("http://141.218.60.56/~jnz1568/getInfo.php?workbook=16_14.xlsx&amp;sheet=A0&amp;row=331&amp;col=9&amp;number=&amp;sourceID=48","")</f>
        <v/>
      </c>
      <c r="J331" s="4" t="str">
        <f>HYPERLINK("http://141.218.60.56/~jnz1568/getInfo.php?workbook=16_14.xlsx&amp;sheet=A0&amp;row=331&amp;col=10&amp;number=&amp;sourceID=49","")</f>
        <v/>
      </c>
      <c r="K331" s="4" t="str">
        <f>HYPERLINK("http://141.218.60.56/~jnz1568/getInfo.php?workbook=16_14.xlsx&amp;sheet=A0&amp;row=331&amp;col=11&amp;number=&amp;sourceID=49","")</f>
        <v/>
      </c>
    </row>
    <row r="332" spans="1:11">
      <c r="A332" s="3">
        <v>16</v>
      </c>
      <c r="B332" s="3">
        <v>14</v>
      </c>
      <c r="C332" s="3">
        <v>42</v>
      </c>
      <c r="D332" s="3">
        <v>26</v>
      </c>
      <c r="E332" s="3"/>
      <c r="F332" s="4" t="str">
        <f>HYPERLINK("http://141.218.60.56/~jnz1568/getInfo.php?workbook=16_14.xlsx&amp;sheet=A0&amp;row=332&amp;col=6&amp;number=469010&amp;sourceID=48","469010")</f>
        <v>469010</v>
      </c>
      <c r="G332" s="4" t="str">
        <f>HYPERLINK("http://141.218.60.56/~jnz1568/getInfo.php?workbook=16_14.xlsx&amp;sheet=A0&amp;row=332&amp;col=7&amp;number=&amp;sourceID=48","")</f>
        <v/>
      </c>
      <c r="H332" s="4" t="str">
        <f>HYPERLINK("http://141.218.60.56/~jnz1568/getInfo.php?workbook=16_14.xlsx&amp;sheet=A0&amp;row=332&amp;col=8&amp;number=&amp;sourceID=48","")</f>
        <v/>
      </c>
      <c r="I332" s="4" t="str">
        <f>HYPERLINK("http://141.218.60.56/~jnz1568/getInfo.php?workbook=16_14.xlsx&amp;sheet=A0&amp;row=332&amp;col=9&amp;number=&amp;sourceID=48","")</f>
        <v/>
      </c>
      <c r="J332" s="4" t="str">
        <f>HYPERLINK("http://141.218.60.56/~jnz1568/getInfo.php?workbook=16_14.xlsx&amp;sheet=A0&amp;row=332&amp;col=10&amp;number=&amp;sourceID=49","")</f>
        <v/>
      </c>
      <c r="K332" s="4" t="str">
        <f>HYPERLINK("http://141.218.60.56/~jnz1568/getInfo.php?workbook=16_14.xlsx&amp;sheet=A0&amp;row=332&amp;col=11&amp;number=&amp;sourceID=49","")</f>
        <v/>
      </c>
    </row>
    <row r="333" spans="1:11">
      <c r="A333" s="3">
        <v>16</v>
      </c>
      <c r="B333" s="3">
        <v>14</v>
      </c>
      <c r="C333" s="3">
        <v>42</v>
      </c>
      <c r="D333" s="3">
        <v>28</v>
      </c>
      <c r="E333" s="3"/>
      <c r="F333" s="4" t="str">
        <f>HYPERLINK("http://141.218.60.56/~jnz1568/getInfo.php?workbook=16_14.xlsx&amp;sheet=A0&amp;row=333&amp;col=6&amp;number=34834&amp;sourceID=48","34834")</f>
        <v>34834</v>
      </c>
      <c r="G333" s="4" t="str">
        <f>HYPERLINK("http://141.218.60.56/~jnz1568/getInfo.php?workbook=16_14.xlsx&amp;sheet=A0&amp;row=333&amp;col=7&amp;number=&amp;sourceID=48","")</f>
        <v/>
      </c>
      <c r="H333" s="4" t="str">
        <f>HYPERLINK("http://141.218.60.56/~jnz1568/getInfo.php?workbook=16_14.xlsx&amp;sheet=A0&amp;row=333&amp;col=8&amp;number=&amp;sourceID=48","")</f>
        <v/>
      </c>
      <c r="I333" s="4" t="str">
        <f>HYPERLINK("http://141.218.60.56/~jnz1568/getInfo.php?workbook=16_14.xlsx&amp;sheet=A0&amp;row=333&amp;col=9&amp;number=&amp;sourceID=48","")</f>
        <v/>
      </c>
      <c r="J333" s="4" t="str">
        <f>HYPERLINK("http://141.218.60.56/~jnz1568/getInfo.php?workbook=16_14.xlsx&amp;sheet=A0&amp;row=333&amp;col=10&amp;number=&amp;sourceID=49","")</f>
        <v/>
      </c>
      <c r="K333" s="4" t="str">
        <f>HYPERLINK("http://141.218.60.56/~jnz1568/getInfo.php?workbook=16_14.xlsx&amp;sheet=A0&amp;row=333&amp;col=11&amp;number=&amp;sourceID=49","")</f>
        <v/>
      </c>
    </row>
    <row r="334" spans="1:11">
      <c r="A334" s="3">
        <v>16</v>
      </c>
      <c r="B334" s="3">
        <v>14</v>
      </c>
      <c r="C334" s="3">
        <v>42</v>
      </c>
      <c r="D334" s="3">
        <v>29</v>
      </c>
      <c r="E334" s="3"/>
      <c r="F334" s="4" t="str">
        <f>HYPERLINK("http://141.218.60.56/~jnz1568/getInfo.php?workbook=16_14.xlsx&amp;sheet=A0&amp;row=334&amp;col=6&amp;number=422.64&amp;sourceID=48","422.64")</f>
        <v>422.64</v>
      </c>
      <c r="G334" s="4" t="str">
        <f>HYPERLINK("http://141.218.60.56/~jnz1568/getInfo.php?workbook=16_14.xlsx&amp;sheet=A0&amp;row=334&amp;col=7&amp;number=&amp;sourceID=48","")</f>
        <v/>
      </c>
      <c r="H334" s="4" t="str">
        <f>HYPERLINK("http://141.218.60.56/~jnz1568/getInfo.php?workbook=16_14.xlsx&amp;sheet=A0&amp;row=334&amp;col=8&amp;number=&amp;sourceID=48","")</f>
        <v/>
      </c>
      <c r="I334" s="4" t="str">
        <f>HYPERLINK("http://141.218.60.56/~jnz1568/getInfo.php?workbook=16_14.xlsx&amp;sheet=A0&amp;row=334&amp;col=9&amp;number=&amp;sourceID=48","")</f>
        <v/>
      </c>
      <c r="J334" s="4" t="str">
        <f>HYPERLINK("http://141.218.60.56/~jnz1568/getInfo.php?workbook=16_14.xlsx&amp;sheet=A0&amp;row=334&amp;col=10&amp;number=&amp;sourceID=49","")</f>
        <v/>
      </c>
      <c r="K334" s="4" t="str">
        <f>HYPERLINK("http://141.218.60.56/~jnz1568/getInfo.php?workbook=16_14.xlsx&amp;sheet=A0&amp;row=334&amp;col=11&amp;number=&amp;sourceID=49","")</f>
        <v/>
      </c>
    </row>
    <row r="335" spans="1:11">
      <c r="A335" s="3">
        <v>16</v>
      </c>
      <c r="B335" s="3">
        <v>14</v>
      </c>
      <c r="C335" s="3">
        <v>42</v>
      </c>
      <c r="D335" s="3">
        <v>31</v>
      </c>
      <c r="E335" s="3"/>
      <c r="F335" s="4" t="str">
        <f>HYPERLINK("http://141.218.60.56/~jnz1568/getInfo.php?workbook=16_14.xlsx&amp;sheet=A0&amp;row=335&amp;col=6&amp;number=0.85438&amp;sourceID=48","0.85438")</f>
        <v>0.85438</v>
      </c>
      <c r="G335" s="4" t="str">
        <f>HYPERLINK("http://141.218.60.56/~jnz1568/getInfo.php?workbook=16_14.xlsx&amp;sheet=A0&amp;row=335&amp;col=7&amp;number=&amp;sourceID=48","")</f>
        <v/>
      </c>
      <c r="H335" s="4" t="str">
        <f>HYPERLINK("http://141.218.60.56/~jnz1568/getInfo.php?workbook=16_14.xlsx&amp;sheet=A0&amp;row=335&amp;col=8&amp;number=&amp;sourceID=48","")</f>
        <v/>
      </c>
      <c r="I335" s="4" t="str">
        <f>HYPERLINK("http://141.218.60.56/~jnz1568/getInfo.php?workbook=16_14.xlsx&amp;sheet=A0&amp;row=335&amp;col=9&amp;number=&amp;sourceID=48","")</f>
        <v/>
      </c>
      <c r="J335" s="4" t="str">
        <f>HYPERLINK("http://141.218.60.56/~jnz1568/getInfo.php?workbook=16_14.xlsx&amp;sheet=A0&amp;row=335&amp;col=10&amp;number=&amp;sourceID=49","")</f>
        <v/>
      </c>
      <c r="K335" s="4" t="str">
        <f>HYPERLINK("http://141.218.60.56/~jnz1568/getInfo.php?workbook=16_14.xlsx&amp;sheet=A0&amp;row=335&amp;col=11&amp;number=&amp;sourceID=49","")</f>
        <v/>
      </c>
    </row>
    <row r="336" spans="1:11">
      <c r="A336" s="3">
        <v>16</v>
      </c>
      <c r="B336" s="3">
        <v>14</v>
      </c>
      <c r="C336" s="3">
        <v>43</v>
      </c>
      <c r="D336" s="3">
        <v>7</v>
      </c>
      <c r="E336" s="3"/>
      <c r="F336" s="4" t="str">
        <f>HYPERLINK("http://141.218.60.56/~jnz1568/getInfo.php?workbook=16_14.xlsx&amp;sheet=A0&amp;row=336&amp;col=6&amp;number=422830000&amp;sourceID=48","422830000")</f>
        <v>422830000</v>
      </c>
      <c r="G336" s="4" t="str">
        <f>HYPERLINK("http://141.218.60.56/~jnz1568/getInfo.php?workbook=16_14.xlsx&amp;sheet=A0&amp;row=336&amp;col=7&amp;number=&amp;sourceID=48","")</f>
        <v/>
      </c>
      <c r="H336" s="4" t="str">
        <f>HYPERLINK("http://141.218.60.56/~jnz1568/getInfo.php?workbook=16_14.xlsx&amp;sheet=A0&amp;row=336&amp;col=8&amp;number=&amp;sourceID=48","")</f>
        <v/>
      </c>
      <c r="I336" s="4" t="str">
        <f>HYPERLINK("http://141.218.60.56/~jnz1568/getInfo.php?workbook=16_14.xlsx&amp;sheet=A0&amp;row=336&amp;col=9&amp;number=&amp;sourceID=48","")</f>
        <v/>
      </c>
      <c r="J336" s="4" t="str">
        <f>HYPERLINK("http://141.218.60.56/~jnz1568/getInfo.php?workbook=16_14.xlsx&amp;sheet=A0&amp;row=336&amp;col=10&amp;number=&amp;sourceID=49","")</f>
        <v/>
      </c>
      <c r="K336" s="4" t="str">
        <f>HYPERLINK("http://141.218.60.56/~jnz1568/getInfo.php?workbook=16_14.xlsx&amp;sheet=A0&amp;row=336&amp;col=11&amp;number=&amp;sourceID=49","")</f>
        <v/>
      </c>
    </row>
    <row r="337" spans="1:11">
      <c r="A337" s="3">
        <v>16</v>
      </c>
      <c r="B337" s="3">
        <v>14</v>
      </c>
      <c r="C337" s="3">
        <v>43</v>
      </c>
      <c r="D337" s="3">
        <v>11</v>
      </c>
      <c r="E337" s="3"/>
      <c r="F337" s="4" t="str">
        <f>HYPERLINK("http://141.218.60.56/~jnz1568/getInfo.php?workbook=16_14.xlsx&amp;sheet=A0&amp;row=337&amp;col=6&amp;number=2271300&amp;sourceID=48","2271300")</f>
        <v>2271300</v>
      </c>
      <c r="G337" s="4" t="str">
        <f>HYPERLINK("http://141.218.60.56/~jnz1568/getInfo.php?workbook=16_14.xlsx&amp;sheet=A0&amp;row=337&amp;col=7&amp;number=&amp;sourceID=48","")</f>
        <v/>
      </c>
      <c r="H337" s="4" t="str">
        <f>HYPERLINK("http://141.218.60.56/~jnz1568/getInfo.php?workbook=16_14.xlsx&amp;sheet=A0&amp;row=337&amp;col=8&amp;number=&amp;sourceID=48","")</f>
        <v/>
      </c>
      <c r="I337" s="4" t="str">
        <f>HYPERLINK("http://141.218.60.56/~jnz1568/getInfo.php?workbook=16_14.xlsx&amp;sheet=A0&amp;row=337&amp;col=9&amp;number=&amp;sourceID=48","")</f>
        <v/>
      </c>
      <c r="J337" s="4" t="str">
        <f>HYPERLINK("http://141.218.60.56/~jnz1568/getInfo.php?workbook=16_14.xlsx&amp;sheet=A0&amp;row=337&amp;col=10&amp;number=&amp;sourceID=49","")</f>
        <v/>
      </c>
      <c r="K337" s="4" t="str">
        <f>HYPERLINK("http://141.218.60.56/~jnz1568/getInfo.php?workbook=16_14.xlsx&amp;sheet=A0&amp;row=337&amp;col=11&amp;number=&amp;sourceID=49","")</f>
        <v/>
      </c>
    </row>
    <row r="338" spans="1:11">
      <c r="A338" s="3">
        <v>16</v>
      </c>
      <c r="B338" s="3">
        <v>14</v>
      </c>
      <c r="C338" s="3">
        <v>43</v>
      </c>
      <c r="D338" s="3">
        <v>17</v>
      </c>
      <c r="E338" s="3"/>
      <c r="F338" s="4" t="str">
        <f>HYPERLINK("http://141.218.60.56/~jnz1568/getInfo.php?workbook=16_14.xlsx&amp;sheet=A0&amp;row=338&amp;col=6&amp;number=12744000&amp;sourceID=48","12744000")</f>
        <v>12744000</v>
      </c>
      <c r="G338" s="4" t="str">
        <f>HYPERLINK("http://141.218.60.56/~jnz1568/getInfo.php?workbook=16_14.xlsx&amp;sheet=A0&amp;row=338&amp;col=7&amp;number=&amp;sourceID=48","")</f>
        <v/>
      </c>
      <c r="H338" s="4" t="str">
        <f>HYPERLINK("http://141.218.60.56/~jnz1568/getInfo.php?workbook=16_14.xlsx&amp;sheet=A0&amp;row=338&amp;col=8&amp;number=&amp;sourceID=48","")</f>
        <v/>
      </c>
      <c r="I338" s="4" t="str">
        <f>HYPERLINK("http://141.218.60.56/~jnz1568/getInfo.php?workbook=16_14.xlsx&amp;sheet=A0&amp;row=338&amp;col=9&amp;number=&amp;sourceID=48","")</f>
        <v/>
      </c>
      <c r="J338" s="4" t="str">
        <f>HYPERLINK("http://141.218.60.56/~jnz1568/getInfo.php?workbook=16_14.xlsx&amp;sheet=A0&amp;row=338&amp;col=10&amp;number=&amp;sourceID=49","")</f>
        <v/>
      </c>
      <c r="K338" s="4" t="str">
        <f>HYPERLINK("http://141.218.60.56/~jnz1568/getInfo.php?workbook=16_14.xlsx&amp;sheet=A0&amp;row=338&amp;col=11&amp;number=&amp;sourceID=49","")</f>
        <v/>
      </c>
    </row>
    <row r="339" spans="1:11">
      <c r="A339" s="3">
        <v>16</v>
      </c>
      <c r="B339" s="3">
        <v>14</v>
      </c>
      <c r="C339" s="3">
        <v>43</v>
      </c>
      <c r="D339" s="3">
        <v>18</v>
      </c>
      <c r="E339" s="3"/>
      <c r="F339" s="4" t="str">
        <f>HYPERLINK("http://141.218.60.56/~jnz1568/getInfo.php?workbook=16_14.xlsx&amp;sheet=A0&amp;row=339&amp;col=6&amp;number=2532100&amp;sourceID=48","2532100")</f>
        <v>2532100</v>
      </c>
      <c r="G339" s="4" t="str">
        <f>HYPERLINK("http://141.218.60.56/~jnz1568/getInfo.php?workbook=16_14.xlsx&amp;sheet=A0&amp;row=339&amp;col=7&amp;number=&amp;sourceID=48","")</f>
        <v/>
      </c>
      <c r="H339" s="4" t="str">
        <f>HYPERLINK("http://141.218.60.56/~jnz1568/getInfo.php?workbook=16_14.xlsx&amp;sheet=A0&amp;row=339&amp;col=8&amp;number=&amp;sourceID=48","")</f>
        <v/>
      </c>
      <c r="I339" s="4" t="str">
        <f>HYPERLINK("http://141.218.60.56/~jnz1568/getInfo.php?workbook=16_14.xlsx&amp;sheet=A0&amp;row=339&amp;col=9&amp;number=&amp;sourceID=48","")</f>
        <v/>
      </c>
      <c r="J339" s="4" t="str">
        <f>HYPERLINK("http://141.218.60.56/~jnz1568/getInfo.php?workbook=16_14.xlsx&amp;sheet=A0&amp;row=339&amp;col=10&amp;number=&amp;sourceID=49","")</f>
        <v/>
      </c>
      <c r="K339" s="4" t="str">
        <f>HYPERLINK("http://141.218.60.56/~jnz1568/getInfo.php?workbook=16_14.xlsx&amp;sheet=A0&amp;row=339&amp;col=11&amp;number=&amp;sourceID=49","")</f>
        <v/>
      </c>
    </row>
    <row r="340" spans="1:11">
      <c r="A340" s="3">
        <v>16</v>
      </c>
      <c r="B340" s="3">
        <v>14</v>
      </c>
      <c r="C340" s="3">
        <v>43</v>
      </c>
      <c r="D340" s="3">
        <v>20</v>
      </c>
      <c r="E340" s="3"/>
      <c r="F340" s="4" t="str">
        <f>HYPERLINK("http://141.218.60.56/~jnz1568/getInfo.php?workbook=16_14.xlsx&amp;sheet=A0&amp;row=340&amp;col=6&amp;number=7343400&amp;sourceID=48","7343400")</f>
        <v>7343400</v>
      </c>
      <c r="G340" s="4" t="str">
        <f>HYPERLINK("http://141.218.60.56/~jnz1568/getInfo.php?workbook=16_14.xlsx&amp;sheet=A0&amp;row=340&amp;col=7&amp;number=&amp;sourceID=48","")</f>
        <v/>
      </c>
      <c r="H340" s="4" t="str">
        <f>HYPERLINK("http://141.218.60.56/~jnz1568/getInfo.php?workbook=16_14.xlsx&amp;sheet=A0&amp;row=340&amp;col=8&amp;number=&amp;sourceID=48","")</f>
        <v/>
      </c>
      <c r="I340" s="4" t="str">
        <f>HYPERLINK("http://141.218.60.56/~jnz1568/getInfo.php?workbook=16_14.xlsx&amp;sheet=A0&amp;row=340&amp;col=9&amp;number=&amp;sourceID=48","")</f>
        <v/>
      </c>
      <c r="J340" s="4" t="str">
        <f>HYPERLINK("http://141.218.60.56/~jnz1568/getInfo.php?workbook=16_14.xlsx&amp;sheet=A0&amp;row=340&amp;col=10&amp;number=&amp;sourceID=49","")</f>
        <v/>
      </c>
      <c r="K340" s="4" t="str">
        <f>HYPERLINK("http://141.218.60.56/~jnz1568/getInfo.php?workbook=16_14.xlsx&amp;sheet=A0&amp;row=340&amp;col=11&amp;number=&amp;sourceID=49","")</f>
        <v/>
      </c>
    </row>
    <row r="341" spans="1:11">
      <c r="A341" s="3">
        <v>16</v>
      </c>
      <c r="B341" s="3">
        <v>14</v>
      </c>
      <c r="C341" s="3">
        <v>43</v>
      </c>
      <c r="D341" s="3">
        <v>23</v>
      </c>
      <c r="E341" s="3"/>
      <c r="F341" s="4" t="str">
        <f>HYPERLINK("http://141.218.60.56/~jnz1568/getInfo.php?workbook=16_14.xlsx&amp;sheet=A0&amp;row=341&amp;col=6&amp;number=2234600&amp;sourceID=48","2234600")</f>
        <v>2234600</v>
      </c>
      <c r="G341" s="4" t="str">
        <f>HYPERLINK("http://141.218.60.56/~jnz1568/getInfo.php?workbook=16_14.xlsx&amp;sheet=A0&amp;row=341&amp;col=7&amp;number=&amp;sourceID=48","")</f>
        <v/>
      </c>
      <c r="H341" s="4" t="str">
        <f>HYPERLINK("http://141.218.60.56/~jnz1568/getInfo.php?workbook=16_14.xlsx&amp;sheet=A0&amp;row=341&amp;col=8&amp;number=&amp;sourceID=48","")</f>
        <v/>
      </c>
      <c r="I341" s="4" t="str">
        <f>HYPERLINK("http://141.218.60.56/~jnz1568/getInfo.php?workbook=16_14.xlsx&amp;sheet=A0&amp;row=341&amp;col=9&amp;number=&amp;sourceID=48","")</f>
        <v/>
      </c>
      <c r="J341" s="4" t="str">
        <f>HYPERLINK("http://141.218.60.56/~jnz1568/getInfo.php?workbook=16_14.xlsx&amp;sheet=A0&amp;row=341&amp;col=10&amp;number=&amp;sourceID=49","")</f>
        <v/>
      </c>
      <c r="K341" s="4" t="str">
        <f>HYPERLINK("http://141.218.60.56/~jnz1568/getInfo.php?workbook=16_14.xlsx&amp;sheet=A0&amp;row=341&amp;col=11&amp;number=&amp;sourceID=49","")</f>
        <v/>
      </c>
    </row>
    <row r="342" spans="1:11">
      <c r="A342" s="3">
        <v>16</v>
      </c>
      <c r="B342" s="3">
        <v>14</v>
      </c>
      <c r="C342" s="3">
        <v>43</v>
      </c>
      <c r="D342" s="3">
        <v>25</v>
      </c>
      <c r="E342" s="3"/>
      <c r="F342" s="4" t="str">
        <f>HYPERLINK("http://141.218.60.56/~jnz1568/getInfo.php?workbook=16_14.xlsx&amp;sheet=A0&amp;row=342&amp;col=6&amp;number=304460&amp;sourceID=48","304460")</f>
        <v>304460</v>
      </c>
      <c r="G342" s="4" t="str">
        <f>HYPERLINK("http://141.218.60.56/~jnz1568/getInfo.php?workbook=16_14.xlsx&amp;sheet=A0&amp;row=342&amp;col=7&amp;number=&amp;sourceID=48","")</f>
        <v/>
      </c>
      <c r="H342" s="4" t="str">
        <f>HYPERLINK("http://141.218.60.56/~jnz1568/getInfo.php?workbook=16_14.xlsx&amp;sheet=A0&amp;row=342&amp;col=8&amp;number=&amp;sourceID=48","")</f>
        <v/>
      </c>
      <c r="I342" s="4" t="str">
        <f>HYPERLINK("http://141.218.60.56/~jnz1568/getInfo.php?workbook=16_14.xlsx&amp;sheet=A0&amp;row=342&amp;col=9&amp;number=&amp;sourceID=48","")</f>
        <v/>
      </c>
      <c r="J342" s="4" t="str">
        <f>HYPERLINK("http://141.218.60.56/~jnz1568/getInfo.php?workbook=16_14.xlsx&amp;sheet=A0&amp;row=342&amp;col=10&amp;number=&amp;sourceID=49","")</f>
        <v/>
      </c>
      <c r="K342" s="4" t="str">
        <f>HYPERLINK("http://141.218.60.56/~jnz1568/getInfo.php?workbook=16_14.xlsx&amp;sheet=A0&amp;row=342&amp;col=11&amp;number=&amp;sourceID=49","")</f>
        <v/>
      </c>
    </row>
    <row r="343" spans="1:11">
      <c r="A343" s="3">
        <v>16</v>
      </c>
      <c r="B343" s="3">
        <v>14</v>
      </c>
      <c r="C343" s="3">
        <v>43</v>
      </c>
      <c r="D343" s="3">
        <v>28</v>
      </c>
      <c r="E343" s="3"/>
      <c r="F343" s="4" t="str">
        <f>HYPERLINK("http://141.218.60.56/~jnz1568/getInfo.php?workbook=16_14.xlsx&amp;sheet=A0&amp;row=343&amp;col=6&amp;number=8709300&amp;sourceID=48","8709300")</f>
        <v>8709300</v>
      </c>
      <c r="G343" s="4" t="str">
        <f>HYPERLINK("http://141.218.60.56/~jnz1568/getInfo.php?workbook=16_14.xlsx&amp;sheet=A0&amp;row=343&amp;col=7&amp;number=&amp;sourceID=48","")</f>
        <v/>
      </c>
      <c r="H343" s="4" t="str">
        <f>HYPERLINK("http://141.218.60.56/~jnz1568/getInfo.php?workbook=16_14.xlsx&amp;sheet=A0&amp;row=343&amp;col=8&amp;number=&amp;sourceID=48","")</f>
        <v/>
      </c>
      <c r="I343" s="4" t="str">
        <f>HYPERLINK("http://141.218.60.56/~jnz1568/getInfo.php?workbook=16_14.xlsx&amp;sheet=A0&amp;row=343&amp;col=9&amp;number=&amp;sourceID=48","")</f>
        <v/>
      </c>
      <c r="J343" s="4" t="str">
        <f>HYPERLINK("http://141.218.60.56/~jnz1568/getInfo.php?workbook=16_14.xlsx&amp;sheet=A0&amp;row=343&amp;col=10&amp;number=&amp;sourceID=49","")</f>
        <v/>
      </c>
      <c r="K343" s="4" t="str">
        <f>HYPERLINK("http://141.218.60.56/~jnz1568/getInfo.php?workbook=16_14.xlsx&amp;sheet=A0&amp;row=343&amp;col=11&amp;number=&amp;sourceID=49","")</f>
        <v/>
      </c>
    </row>
    <row r="344" spans="1:11">
      <c r="A344" s="3">
        <v>16</v>
      </c>
      <c r="B344" s="3">
        <v>14</v>
      </c>
      <c r="C344" s="3">
        <v>43</v>
      </c>
      <c r="D344" s="3">
        <v>31</v>
      </c>
      <c r="E344" s="3"/>
      <c r="F344" s="4" t="str">
        <f>HYPERLINK("http://141.218.60.56/~jnz1568/getInfo.php?workbook=16_14.xlsx&amp;sheet=A0&amp;row=344&amp;col=6&amp;number=1498600&amp;sourceID=48","1498600")</f>
        <v>1498600</v>
      </c>
      <c r="G344" s="4" t="str">
        <f>HYPERLINK("http://141.218.60.56/~jnz1568/getInfo.php?workbook=16_14.xlsx&amp;sheet=A0&amp;row=344&amp;col=7&amp;number=&amp;sourceID=48","")</f>
        <v/>
      </c>
      <c r="H344" s="4" t="str">
        <f>HYPERLINK("http://141.218.60.56/~jnz1568/getInfo.php?workbook=16_14.xlsx&amp;sheet=A0&amp;row=344&amp;col=8&amp;number=&amp;sourceID=48","")</f>
        <v/>
      </c>
      <c r="I344" s="4" t="str">
        <f>HYPERLINK("http://141.218.60.56/~jnz1568/getInfo.php?workbook=16_14.xlsx&amp;sheet=A0&amp;row=344&amp;col=9&amp;number=&amp;sourceID=48","")</f>
        <v/>
      </c>
      <c r="J344" s="4" t="str">
        <f>HYPERLINK("http://141.218.60.56/~jnz1568/getInfo.php?workbook=16_14.xlsx&amp;sheet=A0&amp;row=344&amp;col=10&amp;number=&amp;sourceID=49","")</f>
        <v/>
      </c>
      <c r="K344" s="4" t="str">
        <f>HYPERLINK("http://141.218.60.56/~jnz1568/getInfo.php?workbook=16_14.xlsx&amp;sheet=A0&amp;row=344&amp;col=11&amp;number=&amp;sourceID=49","")</f>
        <v/>
      </c>
    </row>
    <row r="345" spans="1:11">
      <c r="A345" s="3">
        <v>16</v>
      </c>
      <c r="B345" s="3">
        <v>14</v>
      </c>
      <c r="C345" s="3">
        <v>44</v>
      </c>
      <c r="D345" s="3">
        <v>7</v>
      </c>
      <c r="E345" s="3">
        <f>((1/(INDEX(E0!J$4:J$47,C345,1)-INDEX(E0!J$4:J$47,D345,1))))*100000000</f>
        <v>0</v>
      </c>
      <c r="F345" s="4" t="str">
        <f>HYPERLINK("http://141.218.60.56/~jnz1568/getInfo.php?workbook=16_14.xlsx&amp;sheet=A0&amp;row=345&amp;col=6&amp;number=30302000&amp;sourceID=48","30302000")</f>
        <v>30302000</v>
      </c>
      <c r="G345" s="4" t="str">
        <f>HYPERLINK("http://141.218.60.56/~jnz1568/getInfo.php?workbook=16_14.xlsx&amp;sheet=A0&amp;row=345&amp;col=7&amp;number=&amp;sourceID=48","")</f>
        <v/>
      </c>
      <c r="H345" s="4" t="str">
        <f>HYPERLINK("http://141.218.60.56/~jnz1568/getInfo.php?workbook=16_14.xlsx&amp;sheet=A0&amp;row=345&amp;col=8&amp;number=&amp;sourceID=48","")</f>
        <v/>
      </c>
      <c r="I345" s="4" t="str">
        <f>HYPERLINK("http://141.218.60.56/~jnz1568/getInfo.php?workbook=16_14.xlsx&amp;sheet=A0&amp;row=345&amp;col=9&amp;number=&amp;sourceID=48","")</f>
        <v/>
      </c>
      <c r="J345" s="4" t="str">
        <f>HYPERLINK("http://141.218.60.56/~jnz1568/getInfo.php?workbook=16_14.xlsx&amp;sheet=A0&amp;row=345&amp;col=10&amp;number=&amp;sourceID=49","")</f>
        <v/>
      </c>
      <c r="K345" s="4" t="str">
        <f>HYPERLINK("http://141.218.60.56/~jnz1568/getInfo.php?workbook=16_14.xlsx&amp;sheet=A0&amp;row=345&amp;col=11&amp;number=&amp;sourceID=49","")</f>
        <v/>
      </c>
    </row>
    <row r="346" spans="1:11">
      <c r="A346" s="3">
        <v>16</v>
      </c>
      <c r="B346" s="3">
        <v>14</v>
      </c>
      <c r="C346" s="3">
        <v>44</v>
      </c>
      <c r="D346" s="3">
        <v>11</v>
      </c>
      <c r="E346" s="3">
        <f>((1/(INDEX(E0!J$4:J$47,C346,1)-INDEX(E0!J$4:J$47,D346,1))))*100000000</f>
        <v>0</v>
      </c>
      <c r="F346" s="4" t="str">
        <f>HYPERLINK("http://141.218.60.56/~jnz1568/getInfo.php?workbook=16_14.xlsx&amp;sheet=A0&amp;row=346&amp;col=6&amp;number=18770&amp;sourceID=48","18770")</f>
        <v>18770</v>
      </c>
      <c r="G346" s="4" t="str">
        <f>HYPERLINK("http://141.218.60.56/~jnz1568/getInfo.php?workbook=16_14.xlsx&amp;sheet=A0&amp;row=346&amp;col=7&amp;number=&amp;sourceID=48","")</f>
        <v/>
      </c>
      <c r="H346" s="4" t="str">
        <f>HYPERLINK("http://141.218.60.56/~jnz1568/getInfo.php?workbook=16_14.xlsx&amp;sheet=A0&amp;row=346&amp;col=8&amp;number=&amp;sourceID=48","")</f>
        <v/>
      </c>
      <c r="I346" s="4" t="str">
        <f>HYPERLINK("http://141.218.60.56/~jnz1568/getInfo.php?workbook=16_14.xlsx&amp;sheet=A0&amp;row=346&amp;col=9&amp;number=&amp;sourceID=48","")</f>
        <v/>
      </c>
      <c r="J346" s="4" t="str">
        <f>HYPERLINK("http://141.218.60.56/~jnz1568/getInfo.php?workbook=16_14.xlsx&amp;sheet=A0&amp;row=346&amp;col=10&amp;number=&amp;sourceID=49","")</f>
        <v/>
      </c>
      <c r="K346" s="4" t="str">
        <f>HYPERLINK("http://141.218.60.56/~jnz1568/getInfo.php?workbook=16_14.xlsx&amp;sheet=A0&amp;row=346&amp;col=11&amp;number=&amp;sourceID=49","")</f>
        <v/>
      </c>
    </row>
    <row r="347" spans="1:11">
      <c r="A347" s="3">
        <v>16</v>
      </c>
      <c r="B347" s="3">
        <v>14</v>
      </c>
      <c r="C347" s="3">
        <v>44</v>
      </c>
      <c r="D347" s="3">
        <v>17</v>
      </c>
      <c r="E347" s="3">
        <f>((1/(INDEX(E0!J$4:J$47,C347,1)-INDEX(E0!J$4:J$47,D347,1))))*100000000</f>
        <v>0</v>
      </c>
      <c r="F347" s="4" t="str">
        <f>HYPERLINK("http://141.218.60.56/~jnz1568/getInfo.php?workbook=16_14.xlsx&amp;sheet=A0&amp;row=347&amp;col=6&amp;number=202880000&amp;sourceID=48","202880000")</f>
        <v>202880000</v>
      </c>
      <c r="G347" s="4" t="str">
        <f>HYPERLINK("http://141.218.60.56/~jnz1568/getInfo.php?workbook=16_14.xlsx&amp;sheet=A0&amp;row=347&amp;col=7&amp;number=&amp;sourceID=48","")</f>
        <v/>
      </c>
      <c r="H347" s="4" t="str">
        <f>HYPERLINK("http://141.218.60.56/~jnz1568/getInfo.php?workbook=16_14.xlsx&amp;sheet=A0&amp;row=347&amp;col=8&amp;number=&amp;sourceID=48","")</f>
        <v/>
      </c>
      <c r="I347" s="4" t="str">
        <f>HYPERLINK("http://141.218.60.56/~jnz1568/getInfo.php?workbook=16_14.xlsx&amp;sheet=A0&amp;row=347&amp;col=9&amp;number=&amp;sourceID=48","")</f>
        <v/>
      </c>
      <c r="J347" s="4" t="str">
        <f>HYPERLINK("http://141.218.60.56/~jnz1568/getInfo.php?workbook=16_14.xlsx&amp;sheet=A0&amp;row=347&amp;col=10&amp;number=&amp;sourceID=49","")</f>
        <v/>
      </c>
      <c r="K347" s="4" t="str">
        <f>HYPERLINK("http://141.218.60.56/~jnz1568/getInfo.php?workbook=16_14.xlsx&amp;sheet=A0&amp;row=347&amp;col=11&amp;number=&amp;sourceID=49","")</f>
        <v/>
      </c>
    </row>
    <row r="348" spans="1:11">
      <c r="A348" s="3">
        <v>16</v>
      </c>
      <c r="B348" s="3">
        <v>14</v>
      </c>
      <c r="C348" s="3">
        <v>44</v>
      </c>
      <c r="D348" s="3">
        <v>17</v>
      </c>
      <c r="E348" s="3">
        <f>((1/(INDEX(E0!J$4:J$47,C348,1)-INDEX(E0!J$4:J$47,D348,1))))*100000000</f>
        <v>0</v>
      </c>
      <c r="F348" s="4" t="str">
        <f>HYPERLINK("http://141.218.60.56/~jnz1568/getInfo.php?workbook=16_14.xlsx&amp;sheet=A0&amp;row=348&amp;col=6&amp;number=202880000&amp;sourceID=48","202880000")</f>
        <v>202880000</v>
      </c>
      <c r="G348" s="4" t="str">
        <f>HYPERLINK("http://141.218.60.56/~jnz1568/getInfo.php?workbook=16_14.xlsx&amp;sheet=A0&amp;row=348&amp;col=7&amp;number=&amp;sourceID=48","")</f>
        <v/>
      </c>
      <c r="H348" s="4" t="str">
        <f>HYPERLINK("http://141.218.60.56/~jnz1568/getInfo.php?workbook=16_14.xlsx&amp;sheet=A0&amp;row=348&amp;col=8&amp;number=&amp;sourceID=48","")</f>
        <v/>
      </c>
      <c r="I348" s="4" t="str">
        <f>HYPERLINK("http://141.218.60.56/~jnz1568/getInfo.php?workbook=16_14.xlsx&amp;sheet=A0&amp;row=348&amp;col=9&amp;number=&amp;sourceID=48","")</f>
        <v/>
      </c>
      <c r="J348" s="4" t="str">
        <f>HYPERLINK("http://141.218.60.56/~jnz1568/getInfo.php?workbook=16_14.xlsx&amp;sheet=A0&amp;row=348&amp;col=10&amp;number=&amp;sourceID=49","")</f>
        <v/>
      </c>
      <c r="K348" s="4" t="str">
        <f>HYPERLINK("http://141.218.60.56/~jnz1568/getInfo.php?workbook=16_14.xlsx&amp;sheet=A0&amp;row=348&amp;col=11&amp;number=&amp;sourceID=49","")</f>
        <v/>
      </c>
    </row>
    <row r="349" spans="1:11">
      <c r="A349" s="3">
        <v>16</v>
      </c>
      <c r="B349" s="3">
        <v>14</v>
      </c>
      <c r="C349" s="3">
        <v>44</v>
      </c>
      <c r="D349" s="3">
        <v>18</v>
      </c>
      <c r="E349" s="3">
        <f>((1/(INDEX(E0!J$4:J$47,C349,1)-INDEX(E0!J$4:J$47,D349,1))))*100000000</f>
        <v>0</v>
      </c>
      <c r="F349" s="4" t="str">
        <f>HYPERLINK("http://141.218.60.56/~jnz1568/getInfo.php?workbook=16_14.xlsx&amp;sheet=A0&amp;row=349&amp;col=6&amp;number=7772400&amp;sourceID=48","7772400")</f>
        <v>7772400</v>
      </c>
      <c r="G349" s="4" t="str">
        <f>HYPERLINK("http://141.218.60.56/~jnz1568/getInfo.php?workbook=16_14.xlsx&amp;sheet=A0&amp;row=349&amp;col=7&amp;number=&amp;sourceID=48","")</f>
        <v/>
      </c>
      <c r="H349" s="4" t="str">
        <f>HYPERLINK("http://141.218.60.56/~jnz1568/getInfo.php?workbook=16_14.xlsx&amp;sheet=A0&amp;row=349&amp;col=8&amp;number=&amp;sourceID=48","")</f>
        <v/>
      </c>
      <c r="I349" s="4" t="str">
        <f>HYPERLINK("http://141.218.60.56/~jnz1568/getInfo.php?workbook=16_14.xlsx&amp;sheet=A0&amp;row=349&amp;col=9&amp;number=&amp;sourceID=48","")</f>
        <v/>
      </c>
      <c r="J349" s="4" t="str">
        <f>HYPERLINK("http://141.218.60.56/~jnz1568/getInfo.php?workbook=16_14.xlsx&amp;sheet=A0&amp;row=349&amp;col=10&amp;number=&amp;sourceID=49","")</f>
        <v/>
      </c>
      <c r="K349" s="4" t="str">
        <f>HYPERLINK("http://141.218.60.56/~jnz1568/getInfo.php?workbook=16_14.xlsx&amp;sheet=A0&amp;row=349&amp;col=11&amp;number=&amp;sourceID=49","")</f>
        <v/>
      </c>
    </row>
    <row r="350" spans="1:11">
      <c r="A350" s="3">
        <v>16</v>
      </c>
      <c r="B350" s="3">
        <v>14</v>
      </c>
      <c r="C350" s="3">
        <v>44</v>
      </c>
      <c r="D350" s="3">
        <v>20</v>
      </c>
      <c r="E350" s="3">
        <f>((1/(INDEX(E0!J$4:J$47,C350,1)-INDEX(E0!J$4:J$47,D350,1))))*100000000</f>
        <v>0</v>
      </c>
      <c r="F350" s="4" t="str">
        <f>HYPERLINK("http://141.218.60.56/~jnz1568/getInfo.php?workbook=16_14.xlsx&amp;sheet=A0&amp;row=350&amp;col=6&amp;number=699550&amp;sourceID=48","699550")</f>
        <v>699550</v>
      </c>
      <c r="G350" s="4" t="str">
        <f>HYPERLINK("http://141.218.60.56/~jnz1568/getInfo.php?workbook=16_14.xlsx&amp;sheet=A0&amp;row=350&amp;col=7&amp;number=&amp;sourceID=48","")</f>
        <v/>
      </c>
      <c r="H350" s="4" t="str">
        <f>HYPERLINK("http://141.218.60.56/~jnz1568/getInfo.php?workbook=16_14.xlsx&amp;sheet=A0&amp;row=350&amp;col=8&amp;number=&amp;sourceID=48","")</f>
        <v/>
      </c>
      <c r="I350" s="4" t="str">
        <f>HYPERLINK("http://141.218.60.56/~jnz1568/getInfo.php?workbook=16_14.xlsx&amp;sheet=A0&amp;row=350&amp;col=9&amp;number=&amp;sourceID=48","")</f>
        <v/>
      </c>
      <c r="J350" s="4" t="str">
        <f>HYPERLINK("http://141.218.60.56/~jnz1568/getInfo.php?workbook=16_14.xlsx&amp;sheet=A0&amp;row=350&amp;col=10&amp;number=&amp;sourceID=49","")</f>
        <v/>
      </c>
      <c r="K350" s="4" t="str">
        <f>HYPERLINK("http://141.218.60.56/~jnz1568/getInfo.php?workbook=16_14.xlsx&amp;sheet=A0&amp;row=350&amp;col=11&amp;number=&amp;sourceID=49","")</f>
        <v/>
      </c>
    </row>
    <row r="351" spans="1:11">
      <c r="A351" s="3">
        <v>16</v>
      </c>
      <c r="B351" s="3">
        <v>14</v>
      </c>
      <c r="C351" s="3">
        <v>44</v>
      </c>
      <c r="D351" s="3">
        <v>23</v>
      </c>
      <c r="E351" s="3">
        <f>((1/(INDEX(E0!J$4:J$47,C351,1)-INDEX(E0!J$4:J$47,D351,1))))*100000000</f>
        <v>0</v>
      </c>
      <c r="F351" s="4" t="str">
        <f>HYPERLINK("http://141.218.60.56/~jnz1568/getInfo.php?workbook=16_14.xlsx&amp;sheet=A0&amp;row=351&amp;col=6&amp;number=11912000&amp;sourceID=48","11912000")</f>
        <v>11912000</v>
      </c>
      <c r="G351" s="4" t="str">
        <f>HYPERLINK("http://141.218.60.56/~jnz1568/getInfo.php?workbook=16_14.xlsx&amp;sheet=A0&amp;row=351&amp;col=7&amp;number=&amp;sourceID=48","")</f>
        <v/>
      </c>
      <c r="H351" s="4" t="str">
        <f>HYPERLINK("http://141.218.60.56/~jnz1568/getInfo.php?workbook=16_14.xlsx&amp;sheet=A0&amp;row=351&amp;col=8&amp;number=&amp;sourceID=48","")</f>
        <v/>
      </c>
      <c r="I351" s="4" t="str">
        <f>HYPERLINK("http://141.218.60.56/~jnz1568/getInfo.php?workbook=16_14.xlsx&amp;sheet=A0&amp;row=351&amp;col=9&amp;number=&amp;sourceID=48","")</f>
        <v/>
      </c>
      <c r="J351" s="4" t="str">
        <f>HYPERLINK("http://141.218.60.56/~jnz1568/getInfo.php?workbook=16_14.xlsx&amp;sheet=A0&amp;row=351&amp;col=10&amp;number=&amp;sourceID=49","")</f>
        <v/>
      </c>
      <c r="K351" s="4" t="str">
        <f>HYPERLINK("http://141.218.60.56/~jnz1568/getInfo.php?workbook=16_14.xlsx&amp;sheet=A0&amp;row=351&amp;col=11&amp;number=&amp;sourceID=49","")</f>
        <v/>
      </c>
    </row>
    <row r="352" spans="1:11">
      <c r="A352" s="3">
        <v>16</v>
      </c>
      <c r="B352" s="3">
        <v>14</v>
      </c>
      <c r="C352" s="3">
        <v>44</v>
      </c>
      <c r="D352" s="3">
        <v>25</v>
      </c>
      <c r="E352" s="3">
        <f>((1/(INDEX(E0!J$4:J$47,C352,1)-INDEX(E0!J$4:J$47,D352,1))))*100000000</f>
        <v>0</v>
      </c>
      <c r="F352" s="4" t="str">
        <f>HYPERLINK("http://141.218.60.56/~jnz1568/getInfo.php?workbook=16_14.xlsx&amp;sheet=A0&amp;row=352&amp;col=6&amp;number=648920&amp;sourceID=48","648920")</f>
        <v>648920</v>
      </c>
      <c r="G352" s="4" t="str">
        <f>HYPERLINK("http://141.218.60.56/~jnz1568/getInfo.php?workbook=16_14.xlsx&amp;sheet=A0&amp;row=352&amp;col=7&amp;number=&amp;sourceID=48","")</f>
        <v/>
      </c>
      <c r="H352" s="4" t="str">
        <f>HYPERLINK("http://141.218.60.56/~jnz1568/getInfo.php?workbook=16_14.xlsx&amp;sheet=A0&amp;row=352&amp;col=8&amp;number=&amp;sourceID=48","")</f>
        <v/>
      </c>
      <c r="I352" s="4" t="str">
        <f>HYPERLINK("http://141.218.60.56/~jnz1568/getInfo.php?workbook=16_14.xlsx&amp;sheet=A0&amp;row=352&amp;col=9&amp;number=&amp;sourceID=48","")</f>
        <v/>
      </c>
      <c r="J352" s="4" t="str">
        <f>HYPERLINK("http://141.218.60.56/~jnz1568/getInfo.php?workbook=16_14.xlsx&amp;sheet=A0&amp;row=352&amp;col=10&amp;number=&amp;sourceID=49","")</f>
        <v/>
      </c>
      <c r="K352" s="4" t="str">
        <f>HYPERLINK("http://141.218.60.56/~jnz1568/getInfo.php?workbook=16_14.xlsx&amp;sheet=A0&amp;row=352&amp;col=11&amp;number=&amp;sourceID=49","")</f>
        <v/>
      </c>
    </row>
    <row r="353" spans="1:11">
      <c r="A353" s="3">
        <v>16</v>
      </c>
      <c r="B353" s="3">
        <v>14</v>
      </c>
      <c r="C353" s="3">
        <v>44</v>
      </c>
      <c r="D353" s="3">
        <v>28</v>
      </c>
      <c r="E353" s="3">
        <f>((1/(INDEX(E0!J$4:J$47,C353,1)-INDEX(E0!J$4:J$47,D353,1))))*100000000</f>
        <v>0</v>
      </c>
      <c r="F353" s="4" t="str">
        <f>HYPERLINK("http://141.218.60.56/~jnz1568/getInfo.php?workbook=16_14.xlsx&amp;sheet=A0&amp;row=353&amp;col=6&amp;number=183450000&amp;sourceID=48","183450000")</f>
        <v>183450000</v>
      </c>
      <c r="G353" s="4" t="str">
        <f>HYPERLINK("http://141.218.60.56/~jnz1568/getInfo.php?workbook=16_14.xlsx&amp;sheet=A0&amp;row=353&amp;col=7&amp;number=&amp;sourceID=48","")</f>
        <v/>
      </c>
      <c r="H353" s="4" t="str">
        <f>HYPERLINK("http://141.218.60.56/~jnz1568/getInfo.php?workbook=16_14.xlsx&amp;sheet=A0&amp;row=353&amp;col=8&amp;number=&amp;sourceID=48","")</f>
        <v/>
      </c>
      <c r="I353" s="4" t="str">
        <f>HYPERLINK("http://141.218.60.56/~jnz1568/getInfo.php?workbook=16_14.xlsx&amp;sheet=A0&amp;row=353&amp;col=9&amp;number=&amp;sourceID=48","")</f>
        <v/>
      </c>
      <c r="J353" s="4" t="str">
        <f>HYPERLINK("http://141.218.60.56/~jnz1568/getInfo.php?workbook=16_14.xlsx&amp;sheet=A0&amp;row=353&amp;col=10&amp;number=&amp;sourceID=49","")</f>
        <v/>
      </c>
      <c r="K353" s="4" t="str">
        <f>HYPERLINK("http://141.218.60.56/~jnz1568/getInfo.php?workbook=16_14.xlsx&amp;sheet=A0&amp;row=353&amp;col=11&amp;number=&amp;sourceID=49","")</f>
        <v/>
      </c>
    </row>
    <row r="354" spans="1:11">
      <c r="A354" s="3">
        <v>16</v>
      </c>
      <c r="B354" s="3">
        <v>14</v>
      </c>
      <c r="C354" s="3">
        <v>44</v>
      </c>
      <c r="D354" s="3">
        <v>28</v>
      </c>
      <c r="E354" s="3">
        <f>((1/(INDEX(E0!J$4:J$47,C354,1)-INDEX(E0!J$4:J$47,D354,1))))*100000000</f>
        <v>0</v>
      </c>
      <c r="F354" s="4" t="str">
        <f>HYPERLINK("http://141.218.60.56/~jnz1568/getInfo.php?workbook=16_14.xlsx&amp;sheet=A0&amp;row=354&amp;col=6&amp;number=183450000&amp;sourceID=48","183450000")</f>
        <v>183450000</v>
      </c>
      <c r="G354" s="4" t="str">
        <f>HYPERLINK("http://141.218.60.56/~jnz1568/getInfo.php?workbook=16_14.xlsx&amp;sheet=A0&amp;row=354&amp;col=7&amp;number=&amp;sourceID=48","")</f>
        <v/>
      </c>
      <c r="H354" s="4" t="str">
        <f>HYPERLINK("http://141.218.60.56/~jnz1568/getInfo.php?workbook=16_14.xlsx&amp;sheet=A0&amp;row=354&amp;col=8&amp;number=&amp;sourceID=48","")</f>
        <v/>
      </c>
      <c r="I354" s="4" t="str">
        <f>HYPERLINK("http://141.218.60.56/~jnz1568/getInfo.php?workbook=16_14.xlsx&amp;sheet=A0&amp;row=354&amp;col=9&amp;number=&amp;sourceID=48","")</f>
        <v/>
      </c>
      <c r="J354" s="4" t="str">
        <f>HYPERLINK("http://141.218.60.56/~jnz1568/getInfo.php?workbook=16_14.xlsx&amp;sheet=A0&amp;row=354&amp;col=10&amp;number=&amp;sourceID=49","")</f>
        <v/>
      </c>
      <c r="K354" s="4" t="str">
        <f>HYPERLINK("http://141.218.60.56/~jnz1568/getInfo.php?workbook=16_14.xlsx&amp;sheet=A0&amp;row=354&amp;col=11&amp;number=&amp;sourceID=49","")</f>
        <v/>
      </c>
    </row>
    <row r="355" spans="1:11">
      <c r="A355" s="3">
        <v>16</v>
      </c>
      <c r="B355" s="3">
        <v>14</v>
      </c>
      <c r="C355" s="3">
        <v>44</v>
      </c>
      <c r="D355" s="3">
        <v>31</v>
      </c>
      <c r="E355" s="3">
        <f>((1/(INDEX(E0!J$4:J$47,C355,1)-INDEX(E0!J$4:J$47,D355,1))))*100000000</f>
        <v>0</v>
      </c>
      <c r="F355" s="4" t="str">
        <f>HYPERLINK("http://141.218.60.56/~jnz1568/getInfo.php?workbook=16_14.xlsx&amp;sheet=A0&amp;row=355&amp;col=6&amp;number=27269000&amp;sourceID=48","27269000")</f>
        <v>27269000</v>
      </c>
      <c r="G355" s="4" t="str">
        <f>HYPERLINK("http://141.218.60.56/~jnz1568/getInfo.php?workbook=16_14.xlsx&amp;sheet=A0&amp;row=355&amp;col=7&amp;number=&amp;sourceID=48","")</f>
        <v/>
      </c>
      <c r="H355" s="4" t="str">
        <f>HYPERLINK("http://141.218.60.56/~jnz1568/getInfo.php?workbook=16_14.xlsx&amp;sheet=A0&amp;row=355&amp;col=8&amp;number=&amp;sourceID=48","")</f>
        <v/>
      </c>
      <c r="I355" s="4" t="str">
        <f>HYPERLINK("http://141.218.60.56/~jnz1568/getInfo.php?workbook=16_14.xlsx&amp;sheet=A0&amp;row=355&amp;col=9&amp;number=&amp;sourceID=48","")</f>
        <v/>
      </c>
      <c r="J355" s="4" t="str">
        <f>HYPERLINK("http://141.218.60.56/~jnz1568/getInfo.php?workbook=16_14.xlsx&amp;sheet=A0&amp;row=355&amp;col=10&amp;number=&amp;sourceID=49","")</f>
        <v/>
      </c>
      <c r="K355" s="4" t="str">
        <f>HYPERLINK("http://141.218.60.56/~jnz1568/getInfo.php?workbook=16_14.xlsx&amp;sheet=A0&amp;row=355&amp;col=11&amp;number=&amp;sourceID=49","")</f>
        <v/>
      </c>
    </row>
    <row r="356" spans="1:11">
      <c r="A356" s="3">
        <v>16</v>
      </c>
      <c r="B356" s="3">
        <v>14</v>
      </c>
      <c r="C356" s="3">
        <v>44</v>
      </c>
      <c r="D356" s="3">
        <v>31</v>
      </c>
      <c r="E356" s="3">
        <f>((1/(INDEX(E0!J$4:J$47,C356,1)-INDEX(E0!J$4:J$47,D356,1))))*100000000</f>
        <v>0</v>
      </c>
      <c r="F356" s="4" t="str">
        <f>HYPERLINK("http://141.218.60.56/~jnz1568/getInfo.php?workbook=16_14.xlsx&amp;sheet=A0&amp;row=356&amp;col=6&amp;number=27269000&amp;sourceID=48","27269000")</f>
        <v>27269000</v>
      </c>
      <c r="G356" s="4" t="str">
        <f>HYPERLINK("http://141.218.60.56/~jnz1568/getInfo.php?workbook=16_14.xlsx&amp;sheet=A0&amp;row=356&amp;col=7&amp;number=&amp;sourceID=48","")</f>
        <v/>
      </c>
      <c r="H356" s="4" t="str">
        <f>HYPERLINK("http://141.218.60.56/~jnz1568/getInfo.php?workbook=16_14.xlsx&amp;sheet=A0&amp;row=356&amp;col=8&amp;number=&amp;sourceID=48","")</f>
        <v/>
      </c>
      <c r="I356" s="4" t="str">
        <f>HYPERLINK("http://141.218.60.56/~jnz1568/getInfo.php?workbook=16_14.xlsx&amp;sheet=A0&amp;row=356&amp;col=9&amp;number=&amp;sourceID=48","")</f>
        <v/>
      </c>
      <c r="J356" s="4" t="str">
        <f>HYPERLINK("http://141.218.60.56/~jnz1568/getInfo.php?workbook=16_14.xlsx&amp;sheet=A0&amp;row=356&amp;col=10&amp;number=&amp;sourceID=49","")</f>
        <v/>
      </c>
      <c r="K356" s="4" t="str">
        <f>HYPERLINK("http://141.218.60.56/~jnz1568/getInfo.php?workbook=16_14.xlsx&amp;sheet=A0&amp;row=356&amp;col=11&amp;number=&amp;sourceID=49","")</f>
        <v/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3.7109375" customWidth="1"/>
    <col min="2" max="2" width="3.7109375" customWidth="1"/>
    <col min="3" max="3" width="2.7109375" customWidth="1"/>
    <col min="4" max="4" width="2.7109375" customWidth="1"/>
    <col min="5" max="5" width="3.7109375" customWidth="1"/>
    <col min="6" max="6" width="9.7109375" customWidth="1"/>
    <col min="7" max="7" width="7.7109375" customWidth="1"/>
    <col min="8" max="8" width="9.7109375" customWidth="1"/>
    <col min="9" max="9" width="7.7109375" customWidth="1"/>
    <col min="10" max="10" width="9.7109375" customWidth="1"/>
    <col min="11" max="11" width="7.7109375" customWidth="1"/>
  </cols>
  <sheetData>
    <row r="1" spans="1:11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2"/>
      <c r="E2" s="2"/>
      <c r="F2" s="2" t="s">
        <v>42</v>
      </c>
      <c r="G2" s="2" t="s">
        <v>42</v>
      </c>
      <c r="H2" s="2" t="s">
        <v>43</v>
      </c>
      <c r="I2" s="2" t="s">
        <v>43</v>
      </c>
      <c r="J2" s="2" t="s">
        <v>44</v>
      </c>
      <c r="K2" s="2" t="s">
        <v>44</v>
      </c>
    </row>
    <row r="3" spans="1:11">
      <c r="A3" s="2" t="s">
        <v>3</v>
      </c>
      <c r="B3" s="2" t="s">
        <v>4</v>
      </c>
      <c r="C3" s="2" t="s">
        <v>35</v>
      </c>
      <c r="D3" s="2" t="s">
        <v>5</v>
      </c>
      <c r="E3" s="2" t="s">
        <v>45</v>
      </c>
      <c r="F3" s="2" t="s">
        <v>46</v>
      </c>
      <c r="G3" s="2" t="s">
        <v>47</v>
      </c>
      <c r="H3" s="2" t="s">
        <v>46</v>
      </c>
      <c r="I3" s="2" t="s">
        <v>47</v>
      </c>
      <c r="J3" s="2" t="s">
        <v>46</v>
      </c>
      <c r="K3" s="2" t="s">
        <v>47</v>
      </c>
    </row>
    <row r="4" spans="1:11">
      <c r="A4" s="3">
        <v>16</v>
      </c>
      <c r="B4" s="3">
        <v>14</v>
      </c>
      <c r="C4" s="3">
        <v>2</v>
      </c>
      <c r="D4" s="3">
        <v>1</v>
      </c>
      <c r="E4" s="3">
        <v>1</v>
      </c>
      <c r="F4" s="4" t="str">
        <f>HYPERLINK("http://141.218.60.56/~jnz1568/getInfo.php?workbook=16_14.xlsx&amp;sheet=U0&amp;row=4&amp;col=6&amp;number=3&amp;sourceID=50","3")</f>
        <v>3</v>
      </c>
      <c r="G4" s="4" t="str">
        <f>HYPERLINK("http://141.218.60.56/~jnz1568/getInfo.php?workbook=16_14.xlsx&amp;sheet=U0&amp;row=4&amp;col=7&amp;number=2.08&amp;sourceID=50","2.08")</f>
        <v>2.08</v>
      </c>
      <c r="H4" s="4" t="str">
        <f>HYPERLINK("http://141.218.60.56/~jnz1568/getInfo.php?workbook=16_14.xlsx&amp;sheet=U0&amp;row=4&amp;col=8&amp;number=3&amp;sourceID=51","3")</f>
        <v>3</v>
      </c>
      <c r="I4" s="4" t="str">
        <f>HYPERLINK("http://141.218.60.56/~jnz1568/getInfo.php?workbook=16_14.xlsx&amp;sheet=U0&amp;row=4&amp;col=9&amp;number=1.723&amp;sourceID=51","1.723")</f>
        <v>1.723</v>
      </c>
      <c r="J4" s="4" t="str">
        <f>HYPERLINK("http://141.218.60.56/~jnz1568/getInfo.php?workbook=16_14.xlsx&amp;sheet=U0&amp;row=4&amp;col=10&amp;number=3.699&amp;sourceID=52","3.699")</f>
        <v>3.699</v>
      </c>
      <c r="K4" s="4" t="str">
        <f>HYPERLINK("http://141.218.60.56/~jnz1568/getInfo.php?workbook=16_14.xlsx&amp;sheet=U0&amp;row=4&amp;col=11&amp;number=2.617&amp;sourceID=52","2.617")</f>
        <v>2.617</v>
      </c>
    </row>
    <row r="5" spans="1:11">
      <c r="A5" s="3"/>
      <c r="B5" s="3"/>
      <c r="C5" s="3"/>
      <c r="D5" s="3"/>
      <c r="E5" s="3">
        <v>2</v>
      </c>
      <c r="F5" s="4" t="str">
        <f>HYPERLINK("http://141.218.60.56/~jnz1568/getInfo.php?workbook=16_14.xlsx&amp;sheet=U0&amp;row=5&amp;col=6&amp;number=3.2&amp;sourceID=50","3.2")</f>
        <v>3.2</v>
      </c>
      <c r="G5" s="4" t="str">
        <f>HYPERLINK("http://141.218.60.56/~jnz1568/getInfo.php?workbook=16_14.xlsx&amp;sheet=U0&amp;row=5&amp;col=7&amp;number=2.1&amp;sourceID=50","2.1")</f>
        <v>2.1</v>
      </c>
      <c r="H5" s="4" t="str">
        <f>HYPERLINK("http://141.218.60.56/~jnz1568/getInfo.php?workbook=16_14.xlsx&amp;sheet=U0&amp;row=5&amp;col=8&amp;number=3.2&amp;sourceID=51","3.2")</f>
        <v>3.2</v>
      </c>
      <c r="I5" s="4" t="str">
        <f>HYPERLINK("http://141.218.60.56/~jnz1568/getInfo.php?workbook=16_14.xlsx&amp;sheet=U0&amp;row=5&amp;col=9&amp;number=1.873&amp;sourceID=51","1.873")</f>
        <v>1.873</v>
      </c>
      <c r="J5" s="4" t="str">
        <f>HYPERLINK("http://141.218.60.56/~jnz1568/getInfo.php?workbook=16_14.xlsx&amp;sheet=U0&amp;row=5&amp;col=10&amp;number=3.778&amp;sourceID=52","3.778")</f>
        <v>3.778</v>
      </c>
      <c r="K5" s="4" t="str">
        <f>HYPERLINK("http://141.218.60.56/~jnz1568/getInfo.php?workbook=16_14.xlsx&amp;sheet=U0&amp;row=5&amp;col=11&amp;number=2.608&amp;sourceID=52","2.608")</f>
        <v>2.608</v>
      </c>
    </row>
    <row r="6" spans="1:11">
      <c r="A6" s="3"/>
      <c r="B6" s="3"/>
      <c r="C6" s="3"/>
      <c r="D6" s="3"/>
      <c r="E6" s="3">
        <v>3</v>
      </c>
      <c r="F6" s="4" t="str">
        <f>HYPERLINK("http://141.218.60.56/~jnz1568/getInfo.php?workbook=16_14.xlsx&amp;sheet=U0&amp;row=6&amp;col=6&amp;number=3.4&amp;sourceID=50","3.4")</f>
        <v>3.4</v>
      </c>
      <c r="G6" s="4" t="str">
        <f>HYPERLINK("http://141.218.60.56/~jnz1568/getInfo.php?workbook=16_14.xlsx&amp;sheet=U0&amp;row=6&amp;col=7&amp;number=2.13&amp;sourceID=50","2.13")</f>
        <v>2.13</v>
      </c>
      <c r="H6" s="4" t="str">
        <f>HYPERLINK("http://141.218.60.56/~jnz1568/getInfo.php?workbook=16_14.xlsx&amp;sheet=U0&amp;row=6&amp;col=8&amp;number=3.4&amp;sourceID=51","3.4")</f>
        <v>3.4</v>
      </c>
      <c r="I6" s="4" t="str">
        <f>HYPERLINK("http://141.218.60.56/~jnz1568/getInfo.php?workbook=16_14.xlsx&amp;sheet=U0&amp;row=6&amp;col=9&amp;number=2.005&amp;sourceID=51","2.005")</f>
        <v>2.005</v>
      </c>
      <c r="J6" s="4" t="str">
        <f>HYPERLINK("http://141.218.60.56/~jnz1568/getInfo.php?workbook=16_14.xlsx&amp;sheet=U0&amp;row=6&amp;col=10&amp;number=3.845&amp;sourceID=52","3.845")</f>
        <v>3.845</v>
      </c>
      <c r="K6" s="4" t="str">
        <f>HYPERLINK("http://141.218.60.56/~jnz1568/getInfo.php?workbook=16_14.xlsx&amp;sheet=U0&amp;row=6&amp;col=11&amp;number=2.6&amp;sourceID=52","2.6")</f>
        <v>2.6</v>
      </c>
    </row>
    <row r="7" spans="1:11">
      <c r="A7" s="3"/>
      <c r="B7" s="3"/>
      <c r="C7" s="3"/>
      <c r="D7" s="3"/>
      <c r="E7" s="3">
        <v>4</v>
      </c>
      <c r="F7" s="4" t="str">
        <f>HYPERLINK("http://141.218.60.56/~jnz1568/getInfo.php?workbook=16_14.xlsx&amp;sheet=U0&amp;row=7&amp;col=6&amp;number=3.6&amp;sourceID=50","3.6")</f>
        <v>3.6</v>
      </c>
      <c r="G7" s="4" t="str">
        <f>HYPERLINK("http://141.218.60.56/~jnz1568/getInfo.php?workbook=16_14.xlsx&amp;sheet=U0&amp;row=7&amp;col=7&amp;number=2.2&amp;sourceID=50","2.2")</f>
        <v>2.2</v>
      </c>
      <c r="H7" s="4" t="str">
        <f>HYPERLINK("http://141.218.60.56/~jnz1568/getInfo.php?workbook=16_14.xlsx&amp;sheet=U0&amp;row=7&amp;col=8&amp;number=3.6&amp;sourceID=51","3.6")</f>
        <v>3.6</v>
      </c>
      <c r="I7" s="4" t="str">
        <f>HYPERLINK("http://141.218.60.56/~jnz1568/getInfo.php?workbook=16_14.xlsx&amp;sheet=U0&amp;row=7&amp;col=9&amp;number=2.158&amp;sourceID=51","2.158")</f>
        <v>2.158</v>
      </c>
      <c r="J7" s="4" t="str">
        <f>HYPERLINK("http://141.218.60.56/~jnz1568/getInfo.php?workbook=16_14.xlsx&amp;sheet=U0&amp;row=7&amp;col=10&amp;number=3.903&amp;sourceID=52","3.903")</f>
        <v>3.903</v>
      </c>
      <c r="K7" s="4" t="str">
        <f>HYPERLINK("http://141.218.60.56/~jnz1568/getInfo.php?workbook=16_14.xlsx&amp;sheet=U0&amp;row=7&amp;col=11&amp;number=2.589&amp;sourceID=52","2.589")</f>
        <v>2.589</v>
      </c>
    </row>
    <row r="8" spans="1:11">
      <c r="A8" s="3"/>
      <c r="B8" s="3"/>
      <c r="C8" s="3"/>
      <c r="D8" s="3"/>
      <c r="E8" s="3">
        <v>5</v>
      </c>
      <c r="F8" s="4" t="str">
        <f>HYPERLINK("http://141.218.60.56/~jnz1568/getInfo.php?workbook=16_14.xlsx&amp;sheet=U0&amp;row=8&amp;col=6&amp;number=3.8&amp;sourceID=50","3.8")</f>
        <v>3.8</v>
      </c>
      <c r="G8" s="4" t="str">
        <f>HYPERLINK("http://141.218.60.56/~jnz1568/getInfo.php?workbook=16_14.xlsx&amp;sheet=U0&amp;row=8&amp;col=7&amp;number=2.27&amp;sourceID=50","2.27")</f>
        <v>2.27</v>
      </c>
      <c r="H8" s="4" t="str">
        <f>HYPERLINK("http://141.218.60.56/~jnz1568/getInfo.php?workbook=16_14.xlsx&amp;sheet=U0&amp;row=8&amp;col=8&amp;number=3.8&amp;sourceID=51","3.8")</f>
        <v>3.8</v>
      </c>
      <c r="I8" s="4" t="str">
        <f>HYPERLINK("http://141.218.60.56/~jnz1568/getInfo.php?workbook=16_14.xlsx&amp;sheet=U0&amp;row=8&amp;col=9&amp;number=2.291&amp;sourceID=51","2.291")</f>
        <v>2.291</v>
      </c>
      <c r="J8" s="4" t="str">
        <f>HYPERLINK("http://141.218.60.56/~jnz1568/getInfo.php?workbook=16_14.xlsx&amp;sheet=U0&amp;row=8&amp;col=10&amp;number=3.954&amp;sourceID=52","3.954")</f>
        <v>3.954</v>
      </c>
      <c r="K8" s="4" t="str">
        <f>HYPERLINK("http://141.218.60.56/~jnz1568/getInfo.php?workbook=16_14.xlsx&amp;sheet=U0&amp;row=8&amp;col=11&amp;number=2.576&amp;sourceID=52","2.576")</f>
        <v>2.576</v>
      </c>
    </row>
    <row r="9" spans="1:11">
      <c r="A9" s="3"/>
      <c r="B9" s="3"/>
      <c r="C9" s="3"/>
      <c r="D9" s="3"/>
      <c r="E9" s="3">
        <v>6</v>
      </c>
      <c r="F9" s="4" t="str">
        <f>HYPERLINK("http://141.218.60.56/~jnz1568/getInfo.php?workbook=16_14.xlsx&amp;sheet=U0&amp;row=9&amp;col=6&amp;number=4&amp;sourceID=50","4")</f>
        <v>4</v>
      </c>
      <c r="G9" s="4" t="str">
        <f>HYPERLINK("http://141.218.60.56/~jnz1568/getInfo.php?workbook=16_14.xlsx&amp;sheet=U0&amp;row=9&amp;col=7&amp;number=2.26&amp;sourceID=50","2.26")</f>
        <v>2.26</v>
      </c>
      <c r="H9" s="4" t="str">
        <f>HYPERLINK("http://141.218.60.56/~jnz1568/getInfo.php?workbook=16_14.xlsx&amp;sheet=U0&amp;row=9&amp;col=8&amp;number=4&amp;sourceID=51","4")</f>
        <v>4</v>
      </c>
      <c r="I9" s="4" t="str">
        <f>HYPERLINK("http://141.218.60.56/~jnz1568/getInfo.php?workbook=16_14.xlsx&amp;sheet=U0&amp;row=9&amp;col=9&amp;number=2.33&amp;sourceID=51","2.33")</f>
        <v>2.33</v>
      </c>
      <c r="J9" s="4" t="str">
        <f>HYPERLINK("http://141.218.60.56/~jnz1568/getInfo.php?workbook=16_14.xlsx&amp;sheet=U0&amp;row=9&amp;col=10&amp;number=4&amp;sourceID=52","4")</f>
        <v>4</v>
      </c>
      <c r="K9" s="4" t="str">
        <f>HYPERLINK("http://141.218.60.56/~jnz1568/getInfo.php?workbook=16_14.xlsx&amp;sheet=U0&amp;row=9&amp;col=11&amp;number=2.561&amp;sourceID=52","2.561")</f>
        <v>2.561</v>
      </c>
    </row>
    <row r="10" spans="1:11">
      <c r="A10" s="3"/>
      <c r="B10" s="3"/>
      <c r="C10" s="3"/>
      <c r="D10" s="3"/>
      <c r="E10" s="3">
        <v>7</v>
      </c>
      <c r="F10" s="4" t="str">
        <f>HYPERLINK("http://141.218.60.56/~jnz1568/getInfo.php?workbook=16_14.xlsx&amp;sheet=U0&amp;row=10&amp;col=6&amp;number=4.2&amp;sourceID=50","4.2")</f>
        <v>4.2</v>
      </c>
      <c r="G10" s="4" t="str">
        <f>HYPERLINK("http://141.218.60.56/~jnz1568/getInfo.php?workbook=16_14.xlsx&amp;sheet=U0&amp;row=10&amp;col=7&amp;number=2.17&amp;sourceID=50","2.17")</f>
        <v>2.17</v>
      </c>
      <c r="H10" s="4" t="str">
        <f>HYPERLINK("http://141.218.60.56/~jnz1568/getInfo.php?workbook=16_14.xlsx&amp;sheet=U0&amp;row=10&amp;col=8&amp;number=4.2&amp;sourceID=51","4.2")</f>
        <v>4.2</v>
      </c>
      <c r="I10" s="4" t="str">
        <f>HYPERLINK("http://141.218.60.56/~jnz1568/getInfo.php?workbook=16_14.xlsx&amp;sheet=U0&amp;row=10&amp;col=9&amp;number=2.276&amp;sourceID=51","2.276")</f>
        <v>2.276</v>
      </c>
      <c r="J10" s="4" t="str">
        <f>HYPERLINK("http://141.218.60.56/~jnz1568/getInfo.php?workbook=16_14.xlsx&amp;sheet=U0&amp;row=10&amp;col=10&amp;number=4.041&amp;sourceID=52","4.041")</f>
        <v>4.041</v>
      </c>
      <c r="K10" s="4" t="str">
        <f>HYPERLINK("http://141.218.60.56/~jnz1568/getInfo.php?workbook=16_14.xlsx&amp;sheet=U0&amp;row=10&amp;col=11&amp;number=2.545&amp;sourceID=52","2.545")</f>
        <v>2.545</v>
      </c>
    </row>
    <row r="11" spans="1:11">
      <c r="A11" s="3"/>
      <c r="B11" s="3"/>
      <c r="C11" s="3"/>
      <c r="D11" s="3"/>
      <c r="E11" s="3">
        <v>8</v>
      </c>
      <c r="F11" s="4" t="str">
        <f>HYPERLINK("http://141.218.60.56/~jnz1568/getInfo.php?workbook=16_14.xlsx&amp;sheet=U0&amp;row=11&amp;col=6&amp;number=4.4&amp;sourceID=50","4.4")</f>
        <v>4.4</v>
      </c>
      <c r="G11" s="4" t="str">
        <f>HYPERLINK("http://141.218.60.56/~jnz1568/getInfo.php?workbook=16_14.xlsx&amp;sheet=U0&amp;row=11&amp;col=7&amp;number=2.07&amp;sourceID=50","2.07")</f>
        <v>2.07</v>
      </c>
      <c r="H11" s="4" t="str">
        <f>HYPERLINK("http://141.218.60.56/~jnz1568/getInfo.php?workbook=16_14.xlsx&amp;sheet=U0&amp;row=11&amp;col=8&amp;number=4.4&amp;sourceID=51","4.4")</f>
        <v>4.4</v>
      </c>
      <c r="I11" s="4" t="str">
        <f>HYPERLINK("http://141.218.60.56/~jnz1568/getInfo.php?workbook=16_14.xlsx&amp;sheet=U0&amp;row=11&amp;col=9&amp;number=2.183&amp;sourceID=51","2.183")</f>
        <v>2.183</v>
      </c>
      <c r="J11" s="4" t="str">
        <f>HYPERLINK("http://141.218.60.56/~jnz1568/getInfo.php?workbook=16_14.xlsx&amp;sheet=U0&amp;row=11&amp;col=10&amp;number=4.079&amp;sourceID=52","4.079")</f>
        <v>4.079</v>
      </c>
      <c r="K11" s="4" t="str">
        <f>HYPERLINK("http://141.218.60.56/~jnz1568/getInfo.php?workbook=16_14.xlsx&amp;sheet=U0&amp;row=11&amp;col=11&amp;number=2.527&amp;sourceID=52","2.527")</f>
        <v>2.527</v>
      </c>
    </row>
    <row r="12" spans="1:11">
      <c r="A12" s="3"/>
      <c r="B12" s="3"/>
      <c r="C12" s="3"/>
      <c r="D12" s="3"/>
      <c r="E12" s="3">
        <v>9</v>
      </c>
      <c r="F12" s="4" t="str">
        <f>HYPERLINK("http://141.218.60.56/~jnz1568/getInfo.php?workbook=16_14.xlsx&amp;sheet=U0&amp;row=12&amp;col=6&amp;number=4.6&amp;sourceID=50","4.6")</f>
        <v>4.6</v>
      </c>
      <c r="G12" s="4" t="str">
        <f>HYPERLINK("http://141.218.60.56/~jnz1568/getInfo.php?workbook=16_14.xlsx&amp;sheet=U0&amp;row=12&amp;col=7&amp;number=1.97&amp;sourceID=50","1.97")</f>
        <v>1.97</v>
      </c>
      <c r="H12" s="4" t="str">
        <f>HYPERLINK("http://141.218.60.56/~jnz1568/getInfo.php?workbook=16_14.xlsx&amp;sheet=U0&amp;row=12&amp;col=8&amp;number=4.6&amp;sourceID=51","4.6")</f>
        <v>4.6</v>
      </c>
      <c r="I12" s="4" t="str">
        <f>HYPERLINK("http://141.218.60.56/~jnz1568/getInfo.php?workbook=16_14.xlsx&amp;sheet=U0&amp;row=12&amp;col=9&amp;number=2.077&amp;sourceID=51","2.077")</f>
        <v>2.077</v>
      </c>
      <c r="J12" s="4" t="str">
        <f>HYPERLINK("http://141.218.60.56/~jnz1568/getInfo.php?workbook=16_14.xlsx&amp;sheet=U0&amp;row=12&amp;col=10&amp;number=4.114&amp;sourceID=52","4.114")</f>
        <v>4.114</v>
      </c>
      <c r="K12" s="4" t="str">
        <f>HYPERLINK("http://141.218.60.56/~jnz1568/getInfo.php?workbook=16_14.xlsx&amp;sheet=U0&amp;row=12&amp;col=11&amp;number=2.509&amp;sourceID=52","2.509")</f>
        <v>2.509</v>
      </c>
    </row>
    <row r="13" spans="1:11">
      <c r="A13" s="3"/>
      <c r="B13" s="3"/>
      <c r="C13" s="3"/>
      <c r="D13" s="3"/>
      <c r="E13" s="3">
        <v>10</v>
      </c>
      <c r="F13" s="4" t="str">
        <f>HYPERLINK("http://141.218.60.56/~jnz1568/getInfo.php?workbook=16_14.xlsx&amp;sheet=U0&amp;row=13&amp;col=6&amp;number=4.8&amp;sourceID=50","4.8")</f>
        <v>4.8</v>
      </c>
      <c r="G13" s="4" t="str">
        <f>HYPERLINK("http://141.218.60.56/~jnz1568/getInfo.php?workbook=16_14.xlsx&amp;sheet=U0&amp;row=13&amp;col=7&amp;number=1.84&amp;sourceID=50","1.84")</f>
        <v>1.84</v>
      </c>
      <c r="H13" s="4" t="str">
        <f>HYPERLINK("http://141.218.60.56/~jnz1568/getInfo.php?workbook=16_14.xlsx&amp;sheet=U0&amp;row=13&amp;col=8&amp;number=4.8&amp;sourceID=51","4.8")</f>
        <v>4.8</v>
      </c>
      <c r="I13" s="4" t="str">
        <f>HYPERLINK("http://141.218.60.56/~jnz1568/getInfo.php?workbook=16_14.xlsx&amp;sheet=U0&amp;row=13&amp;col=9&amp;number=1.933&amp;sourceID=51","1.933")</f>
        <v>1.933</v>
      </c>
      <c r="J13" s="4" t="str">
        <f>HYPERLINK("http://141.218.60.56/~jnz1568/getInfo.php?workbook=16_14.xlsx&amp;sheet=U0&amp;row=13&amp;col=10&amp;number=4.146&amp;sourceID=52","4.146")</f>
        <v>4.146</v>
      </c>
      <c r="K13" s="4" t="str">
        <f>HYPERLINK("http://141.218.60.56/~jnz1568/getInfo.php?workbook=16_14.xlsx&amp;sheet=U0&amp;row=13&amp;col=11&amp;number=2.491&amp;sourceID=52","2.491")</f>
        <v>2.491</v>
      </c>
    </row>
    <row r="14" spans="1:11">
      <c r="A14" s="3"/>
      <c r="B14" s="3"/>
      <c r="C14" s="3"/>
      <c r="D14" s="3"/>
      <c r="E14" s="3">
        <v>11</v>
      </c>
      <c r="F14" s="4" t="str">
        <f>HYPERLINK("http://141.218.60.56/~jnz1568/getInfo.php?workbook=16_14.xlsx&amp;sheet=U0&amp;row=14&amp;col=6&amp;number=5&amp;sourceID=50","5")</f>
        <v>5</v>
      </c>
      <c r="G14" s="4" t="str">
        <f>HYPERLINK("http://141.218.60.56/~jnz1568/getInfo.php?workbook=16_14.xlsx&amp;sheet=U0&amp;row=14&amp;col=7&amp;number=1.63&amp;sourceID=50","1.63")</f>
        <v>1.63</v>
      </c>
      <c r="H14" s="4" t="str">
        <f>HYPERLINK("http://141.218.60.56/~jnz1568/getInfo.php?workbook=16_14.xlsx&amp;sheet=U0&amp;row=14&amp;col=8&amp;number=5&amp;sourceID=51","5")</f>
        <v>5</v>
      </c>
      <c r="I14" s="4" t="str">
        <f>HYPERLINK("http://141.218.60.56/~jnz1568/getInfo.php?workbook=16_14.xlsx&amp;sheet=U0&amp;row=14&amp;col=9&amp;number=1.719&amp;sourceID=51","1.719")</f>
        <v>1.719</v>
      </c>
      <c r="J14" s="4" t="str">
        <f>HYPERLINK("http://141.218.60.56/~jnz1568/getInfo.php?workbook=16_14.xlsx&amp;sheet=U0&amp;row=14&amp;col=10&amp;number=4.176&amp;sourceID=52","4.176")</f>
        <v>4.176</v>
      </c>
      <c r="K14" s="4" t="str">
        <f>HYPERLINK("http://141.218.60.56/~jnz1568/getInfo.php?workbook=16_14.xlsx&amp;sheet=U0&amp;row=14&amp;col=11&amp;number=2.473&amp;sourceID=52","2.473")</f>
        <v>2.473</v>
      </c>
    </row>
    <row r="15" spans="1:11">
      <c r="A15" s="3"/>
      <c r="B15" s="3"/>
      <c r="C15" s="3"/>
      <c r="D15" s="3"/>
      <c r="E15" s="3">
        <v>12</v>
      </c>
      <c r="F15" s="4" t="str">
        <f>HYPERLINK("http://141.218.60.56/~jnz1568/getInfo.php?workbook=16_14.xlsx&amp;sheet=U0&amp;row=15&amp;col=6&amp;number=5.2&amp;sourceID=50","5.2")</f>
        <v>5.2</v>
      </c>
      <c r="G15" s="4" t="str">
        <f>HYPERLINK("http://141.218.60.56/~jnz1568/getInfo.php?workbook=16_14.xlsx&amp;sheet=U0&amp;row=15&amp;col=7&amp;number=1.36&amp;sourceID=50","1.36")</f>
        <v>1.36</v>
      </c>
      <c r="H15" s="4" t="str">
        <f>HYPERLINK("http://141.218.60.56/~jnz1568/getInfo.php?workbook=16_14.xlsx&amp;sheet=U0&amp;row=15&amp;col=8&amp;number=&amp;sourceID=51","")</f>
        <v/>
      </c>
      <c r="I15" s="4" t="str">
        <f>HYPERLINK("http://141.218.60.56/~jnz1568/getInfo.php?workbook=16_14.xlsx&amp;sheet=U0&amp;row=15&amp;col=9&amp;number=&amp;sourceID=51","")</f>
        <v/>
      </c>
      <c r="J15" s="4" t="str">
        <f>HYPERLINK("http://141.218.60.56/~jnz1568/getInfo.php?workbook=16_14.xlsx&amp;sheet=U0&amp;row=15&amp;col=10&amp;number=4.204&amp;sourceID=52","4.204")</f>
        <v>4.204</v>
      </c>
      <c r="K15" s="4" t="str">
        <f>HYPERLINK("http://141.218.60.56/~jnz1568/getInfo.php?workbook=16_14.xlsx&amp;sheet=U0&amp;row=15&amp;col=11&amp;number=2.456&amp;sourceID=52","2.456")</f>
        <v>2.456</v>
      </c>
    </row>
    <row r="16" spans="1:11">
      <c r="A16" s="3"/>
      <c r="B16" s="3"/>
      <c r="C16" s="3"/>
      <c r="D16" s="3"/>
      <c r="E16" s="3">
        <v>13</v>
      </c>
      <c r="F16" s="4" t="str">
        <f>HYPERLINK("http://141.218.60.56/~jnz1568/getInfo.php?workbook=16_14.xlsx&amp;sheet=U0&amp;row=16&amp;col=6&amp;number=5.4&amp;sourceID=50","5.4")</f>
        <v>5.4</v>
      </c>
      <c r="G16" s="4" t="str">
        <f>HYPERLINK("http://141.218.60.56/~jnz1568/getInfo.php?workbook=16_14.xlsx&amp;sheet=U0&amp;row=16&amp;col=7&amp;number=1.07&amp;sourceID=50","1.07")</f>
        <v>1.07</v>
      </c>
      <c r="H16" s="4" t="str">
        <f>HYPERLINK("http://141.218.60.56/~jnz1568/getInfo.php?workbook=16_14.xlsx&amp;sheet=U0&amp;row=16&amp;col=8&amp;number=&amp;sourceID=51","")</f>
        <v/>
      </c>
      <c r="I16" s="4" t="str">
        <f>HYPERLINK("http://141.218.60.56/~jnz1568/getInfo.php?workbook=16_14.xlsx&amp;sheet=U0&amp;row=16&amp;col=9&amp;number=&amp;sourceID=51","")</f>
        <v/>
      </c>
      <c r="J16" s="4" t="str">
        <f>HYPERLINK("http://141.218.60.56/~jnz1568/getInfo.php?workbook=16_14.xlsx&amp;sheet=U0&amp;row=16&amp;col=10&amp;number=4.23&amp;sourceID=52","4.23")</f>
        <v>4.23</v>
      </c>
      <c r="K16" s="4" t="str">
        <f>HYPERLINK("http://141.218.60.56/~jnz1568/getInfo.php?workbook=16_14.xlsx&amp;sheet=U0&amp;row=16&amp;col=11&amp;number=2.439&amp;sourceID=52","2.439")</f>
        <v>2.439</v>
      </c>
    </row>
    <row r="17" spans="1:11">
      <c r="A17" s="3"/>
      <c r="B17" s="3"/>
      <c r="C17" s="3"/>
      <c r="D17" s="3"/>
      <c r="E17" s="3">
        <v>14</v>
      </c>
      <c r="F17" s="4" t="str">
        <f>HYPERLINK("http://141.218.60.56/~jnz1568/getInfo.php?workbook=16_14.xlsx&amp;sheet=U0&amp;row=17&amp;col=6&amp;number=5.6&amp;sourceID=50","5.6")</f>
        <v>5.6</v>
      </c>
      <c r="G17" s="4" t="str">
        <f>HYPERLINK("http://141.218.60.56/~jnz1568/getInfo.php?workbook=16_14.xlsx&amp;sheet=U0&amp;row=17&amp;col=7&amp;number=0.81&amp;sourceID=50","0.81")</f>
        <v>0.81</v>
      </c>
      <c r="H17" s="4" t="str">
        <f>HYPERLINK("http://141.218.60.56/~jnz1568/getInfo.php?workbook=16_14.xlsx&amp;sheet=U0&amp;row=17&amp;col=8&amp;number=&amp;sourceID=51","")</f>
        <v/>
      </c>
      <c r="I17" s="4" t="str">
        <f>HYPERLINK("http://141.218.60.56/~jnz1568/getInfo.php?workbook=16_14.xlsx&amp;sheet=U0&amp;row=17&amp;col=9&amp;number=&amp;sourceID=51","")</f>
        <v/>
      </c>
      <c r="J17" s="4" t="str">
        <f>HYPERLINK("http://141.218.60.56/~jnz1568/getInfo.php?workbook=16_14.xlsx&amp;sheet=U0&amp;row=17&amp;col=10&amp;number=4.255&amp;sourceID=52","4.255")</f>
        <v>4.255</v>
      </c>
      <c r="K17" s="4" t="str">
        <f>HYPERLINK("http://141.218.60.56/~jnz1568/getInfo.php?workbook=16_14.xlsx&amp;sheet=U0&amp;row=17&amp;col=11&amp;number=2.423&amp;sourceID=52","2.423")</f>
        <v>2.423</v>
      </c>
    </row>
    <row r="18" spans="1:11">
      <c r="A18" s="3"/>
      <c r="B18" s="3"/>
      <c r="C18" s="3"/>
      <c r="D18" s="3"/>
      <c r="E18" s="3">
        <v>15</v>
      </c>
      <c r="F18" s="4" t="str">
        <f>HYPERLINK("http://141.218.60.56/~jnz1568/getInfo.php?workbook=16_14.xlsx&amp;sheet=U0&amp;row=18&amp;col=6&amp;number=5.8&amp;sourceID=50","5.8")</f>
        <v>5.8</v>
      </c>
      <c r="G18" s="4" t="str">
        <f>HYPERLINK("http://141.218.60.56/~jnz1568/getInfo.php?workbook=16_14.xlsx&amp;sheet=U0&amp;row=18&amp;col=7&amp;number=0.59&amp;sourceID=50","0.59")</f>
        <v>0.59</v>
      </c>
      <c r="H18" s="4" t="str">
        <f>HYPERLINK("http://141.218.60.56/~jnz1568/getInfo.php?workbook=16_14.xlsx&amp;sheet=U0&amp;row=18&amp;col=8&amp;number=&amp;sourceID=51","")</f>
        <v/>
      </c>
      <c r="I18" s="4" t="str">
        <f>HYPERLINK("http://141.218.60.56/~jnz1568/getInfo.php?workbook=16_14.xlsx&amp;sheet=U0&amp;row=18&amp;col=9&amp;number=&amp;sourceID=51","")</f>
        <v/>
      </c>
      <c r="J18" s="4" t="str">
        <f>HYPERLINK("http://141.218.60.56/~jnz1568/getInfo.php?workbook=16_14.xlsx&amp;sheet=U0&amp;row=18&amp;col=10&amp;number=4.279&amp;sourceID=52","4.279")</f>
        <v>4.279</v>
      </c>
      <c r="K18" s="4" t="str">
        <f>HYPERLINK("http://141.218.60.56/~jnz1568/getInfo.php?workbook=16_14.xlsx&amp;sheet=U0&amp;row=18&amp;col=11&amp;number=2.408&amp;sourceID=52","2.408")</f>
        <v>2.408</v>
      </c>
    </row>
    <row r="19" spans="1:11">
      <c r="A19" s="3"/>
      <c r="B19" s="3"/>
      <c r="C19" s="3"/>
      <c r="D19" s="3"/>
      <c r="E19" s="3">
        <v>16</v>
      </c>
      <c r="F19" s="4" t="str">
        <f>HYPERLINK("http://141.218.60.56/~jnz1568/getInfo.php?workbook=16_14.xlsx&amp;sheet=U0&amp;row=19&amp;col=6&amp;number=6&amp;sourceID=50","6")</f>
        <v>6</v>
      </c>
      <c r="G19" s="4" t="str">
        <f>HYPERLINK("http://141.218.60.56/~jnz1568/getInfo.php?workbook=16_14.xlsx&amp;sheet=U0&amp;row=19&amp;col=7&amp;number=0.41&amp;sourceID=50","0.41")</f>
        <v>0.41</v>
      </c>
      <c r="H19" s="4" t="str">
        <f>HYPERLINK("http://141.218.60.56/~jnz1568/getInfo.php?workbook=16_14.xlsx&amp;sheet=U0&amp;row=19&amp;col=8&amp;number=&amp;sourceID=51","")</f>
        <v/>
      </c>
      <c r="I19" s="4" t="str">
        <f>HYPERLINK("http://141.218.60.56/~jnz1568/getInfo.php?workbook=16_14.xlsx&amp;sheet=U0&amp;row=19&amp;col=9&amp;number=&amp;sourceID=51","")</f>
        <v/>
      </c>
      <c r="J19" s="4" t="str">
        <f>HYPERLINK("http://141.218.60.56/~jnz1568/getInfo.php?workbook=16_14.xlsx&amp;sheet=U0&amp;row=19&amp;col=10&amp;number=4.301&amp;sourceID=52","4.301")</f>
        <v>4.301</v>
      </c>
      <c r="K19" s="4" t="str">
        <f>HYPERLINK("http://141.218.60.56/~jnz1568/getInfo.php?workbook=16_14.xlsx&amp;sheet=U0&amp;row=19&amp;col=11&amp;number=2.393&amp;sourceID=52","2.393")</f>
        <v>2.393</v>
      </c>
    </row>
    <row r="20" spans="1:11">
      <c r="A20" s="3">
        <v>16</v>
      </c>
      <c r="B20" s="3">
        <v>14</v>
      </c>
      <c r="C20" s="3">
        <v>3</v>
      </c>
      <c r="D20" s="3">
        <v>1</v>
      </c>
      <c r="E20" s="3">
        <v>1</v>
      </c>
      <c r="F20" s="4" t="str">
        <f>HYPERLINK("http://141.218.60.56/~jnz1568/getInfo.php?workbook=16_14.xlsx&amp;sheet=U0&amp;row=20&amp;col=6&amp;number=3&amp;sourceID=50","3")</f>
        <v>3</v>
      </c>
      <c r="G20" s="4" t="str">
        <f>HYPERLINK("http://141.218.60.56/~jnz1568/getInfo.php?workbook=16_14.xlsx&amp;sheet=U0&amp;row=20&amp;col=7&amp;number=0.974&amp;sourceID=50","0.974")</f>
        <v>0.974</v>
      </c>
      <c r="H20" s="4" t="str">
        <f>HYPERLINK("http://141.218.60.56/~jnz1568/getInfo.php?workbook=16_14.xlsx&amp;sheet=U0&amp;row=20&amp;col=8&amp;number=3&amp;sourceID=51","3")</f>
        <v>3</v>
      </c>
      <c r="I20" s="4" t="str">
        <f>HYPERLINK("http://141.218.60.56/~jnz1568/getInfo.php?workbook=16_14.xlsx&amp;sheet=U0&amp;row=20&amp;col=9&amp;number=0.8035&amp;sourceID=51","0.8035")</f>
        <v>0.8035</v>
      </c>
      <c r="J20" s="4" t="str">
        <f>HYPERLINK("http://141.218.60.56/~jnz1568/getInfo.php?workbook=16_14.xlsx&amp;sheet=U0&amp;row=20&amp;col=10&amp;number=3.699&amp;sourceID=52","3.699")</f>
        <v>3.699</v>
      </c>
      <c r="K20" s="4" t="str">
        <f>HYPERLINK("http://141.218.60.56/~jnz1568/getInfo.php?workbook=16_14.xlsx&amp;sheet=U0&amp;row=20&amp;col=11&amp;number=1.301&amp;sourceID=52","1.301")</f>
        <v>1.301</v>
      </c>
    </row>
    <row r="21" spans="1:11">
      <c r="A21" s="3"/>
      <c r="B21" s="3"/>
      <c r="C21" s="3"/>
      <c r="D21" s="3"/>
      <c r="E21" s="3">
        <v>2</v>
      </c>
      <c r="F21" s="4" t="str">
        <f>HYPERLINK("http://141.218.60.56/~jnz1568/getInfo.php?workbook=16_14.xlsx&amp;sheet=U0&amp;row=21&amp;col=6&amp;number=3.2&amp;sourceID=50","3.2")</f>
        <v>3.2</v>
      </c>
      <c r="G21" s="4" t="str">
        <f>HYPERLINK("http://141.218.60.56/~jnz1568/getInfo.php?workbook=16_14.xlsx&amp;sheet=U0&amp;row=21&amp;col=7&amp;number=0.949&amp;sourceID=50","0.949")</f>
        <v>0.949</v>
      </c>
      <c r="H21" s="4" t="str">
        <f>HYPERLINK("http://141.218.60.56/~jnz1568/getInfo.php?workbook=16_14.xlsx&amp;sheet=U0&amp;row=21&amp;col=8&amp;number=3.2&amp;sourceID=51","3.2")</f>
        <v>3.2</v>
      </c>
      <c r="I21" s="4" t="str">
        <f>HYPERLINK("http://141.218.60.56/~jnz1568/getInfo.php?workbook=16_14.xlsx&amp;sheet=U0&amp;row=21&amp;col=9&amp;number=0.8104&amp;sourceID=51","0.8104")</f>
        <v>0.8104</v>
      </c>
      <c r="J21" s="4" t="str">
        <f>HYPERLINK("http://141.218.60.56/~jnz1568/getInfo.php?workbook=16_14.xlsx&amp;sheet=U0&amp;row=21&amp;col=10&amp;number=3.778&amp;sourceID=52","3.778")</f>
        <v>3.778</v>
      </c>
      <c r="K21" s="4" t="str">
        <f>HYPERLINK("http://141.218.60.56/~jnz1568/getInfo.php?workbook=16_14.xlsx&amp;sheet=U0&amp;row=21&amp;col=11&amp;number=1.277&amp;sourceID=52","1.277")</f>
        <v>1.277</v>
      </c>
    </row>
    <row r="22" spans="1:11">
      <c r="A22" s="3"/>
      <c r="B22" s="3"/>
      <c r="C22" s="3"/>
      <c r="D22" s="3"/>
      <c r="E22" s="3">
        <v>3</v>
      </c>
      <c r="F22" s="4" t="str">
        <f>HYPERLINK("http://141.218.60.56/~jnz1568/getInfo.php?workbook=16_14.xlsx&amp;sheet=U0&amp;row=22&amp;col=6&amp;number=3.4&amp;sourceID=50","3.4")</f>
        <v>3.4</v>
      </c>
      <c r="G22" s="4" t="str">
        <f>HYPERLINK("http://141.218.60.56/~jnz1568/getInfo.php?workbook=16_14.xlsx&amp;sheet=U0&amp;row=22&amp;col=7&amp;number=0.936&amp;sourceID=50","0.936")</f>
        <v>0.936</v>
      </c>
      <c r="H22" s="4" t="str">
        <f>HYPERLINK("http://141.218.60.56/~jnz1568/getInfo.php?workbook=16_14.xlsx&amp;sheet=U0&amp;row=22&amp;col=8&amp;number=3.4&amp;sourceID=51","3.4")</f>
        <v>3.4</v>
      </c>
      <c r="I22" s="4" t="str">
        <f>HYPERLINK("http://141.218.60.56/~jnz1568/getInfo.php?workbook=16_14.xlsx&amp;sheet=U0&amp;row=22&amp;col=9&amp;number=0.866&amp;sourceID=51","0.866")</f>
        <v>0.866</v>
      </c>
      <c r="J22" s="4" t="str">
        <f>HYPERLINK("http://141.218.60.56/~jnz1568/getInfo.php?workbook=16_14.xlsx&amp;sheet=U0&amp;row=22&amp;col=10&amp;number=3.845&amp;sourceID=52","3.845")</f>
        <v>3.845</v>
      </c>
      <c r="K22" s="4" t="str">
        <f>HYPERLINK("http://141.218.60.56/~jnz1568/getInfo.php?workbook=16_14.xlsx&amp;sheet=U0&amp;row=22&amp;col=11&amp;number=1.261&amp;sourceID=52","1.261")</f>
        <v>1.261</v>
      </c>
    </row>
    <row r="23" spans="1:11">
      <c r="A23" s="3"/>
      <c r="B23" s="3"/>
      <c r="C23" s="3"/>
      <c r="D23" s="3"/>
      <c r="E23" s="3">
        <v>4</v>
      </c>
      <c r="F23" s="4" t="str">
        <f>HYPERLINK("http://141.218.60.56/~jnz1568/getInfo.php?workbook=16_14.xlsx&amp;sheet=U0&amp;row=23&amp;col=6&amp;number=3.6&amp;sourceID=50","3.6")</f>
        <v>3.6</v>
      </c>
      <c r="G23" s="4" t="str">
        <f>HYPERLINK("http://141.218.60.56/~jnz1568/getInfo.php?workbook=16_14.xlsx&amp;sheet=U0&amp;row=23&amp;col=7&amp;number=0.95&amp;sourceID=50","0.95")</f>
        <v>0.95</v>
      </c>
      <c r="H23" s="4" t="str">
        <f>HYPERLINK("http://141.218.60.56/~jnz1568/getInfo.php?workbook=16_14.xlsx&amp;sheet=U0&amp;row=23&amp;col=8&amp;number=3.6&amp;sourceID=51","3.6")</f>
        <v>3.6</v>
      </c>
      <c r="I23" s="4" t="str">
        <f>HYPERLINK("http://141.218.60.56/~jnz1568/getInfo.php?workbook=16_14.xlsx&amp;sheet=U0&amp;row=23&amp;col=9&amp;number=0.9581&amp;sourceID=51","0.9581")</f>
        <v>0.9581</v>
      </c>
      <c r="J23" s="4" t="str">
        <f>HYPERLINK("http://141.218.60.56/~jnz1568/getInfo.php?workbook=16_14.xlsx&amp;sheet=U0&amp;row=23&amp;col=10&amp;number=3.903&amp;sourceID=52","3.903")</f>
        <v>3.903</v>
      </c>
      <c r="K23" s="4" t="str">
        <f>HYPERLINK("http://141.218.60.56/~jnz1568/getInfo.php?workbook=16_14.xlsx&amp;sheet=U0&amp;row=23&amp;col=11&amp;number=1.251&amp;sourceID=52","1.251")</f>
        <v>1.251</v>
      </c>
    </row>
    <row r="24" spans="1:11">
      <c r="A24" s="3"/>
      <c r="B24" s="3"/>
      <c r="C24" s="3"/>
      <c r="D24" s="3"/>
      <c r="E24" s="3">
        <v>5</v>
      </c>
      <c r="F24" s="4" t="str">
        <f>HYPERLINK("http://141.218.60.56/~jnz1568/getInfo.php?workbook=16_14.xlsx&amp;sheet=U0&amp;row=24&amp;col=6&amp;number=3.8&amp;sourceID=50","3.8")</f>
        <v>3.8</v>
      </c>
      <c r="G24" s="4" t="str">
        <f>HYPERLINK("http://141.218.60.56/~jnz1568/getInfo.php?workbook=16_14.xlsx&amp;sheet=U0&amp;row=24&amp;col=7&amp;number=0.973&amp;sourceID=50","0.973")</f>
        <v>0.973</v>
      </c>
      <c r="H24" s="4" t="str">
        <f>HYPERLINK("http://141.218.60.56/~jnz1568/getInfo.php?workbook=16_14.xlsx&amp;sheet=U0&amp;row=24&amp;col=8&amp;number=3.8&amp;sourceID=51","3.8")</f>
        <v>3.8</v>
      </c>
      <c r="I24" s="4" t="str">
        <f>HYPERLINK("http://141.218.60.56/~jnz1568/getInfo.php?workbook=16_14.xlsx&amp;sheet=U0&amp;row=24&amp;col=9&amp;number=1.039&amp;sourceID=51","1.039")</f>
        <v>1.039</v>
      </c>
      <c r="J24" s="4" t="str">
        <f>HYPERLINK("http://141.218.60.56/~jnz1568/getInfo.php?workbook=16_14.xlsx&amp;sheet=U0&amp;row=24&amp;col=10&amp;number=3.954&amp;sourceID=52","3.954")</f>
        <v>3.954</v>
      </c>
      <c r="K24" s="4" t="str">
        <f>HYPERLINK("http://141.218.60.56/~jnz1568/getInfo.php?workbook=16_14.xlsx&amp;sheet=U0&amp;row=24&amp;col=11&amp;number=1.246&amp;sourceID=52","1.246")</f>
        <v>1.246</v>
      </c>
    </row>
    <row r="25" spans="1:11">
      <c r="A25" s="3"/>
      <c r="B25" s="3"/>
      <c r="C25" s="3"/>
      <c r="D25" s="3"/>
      <c r="E25" s="3">
        <v>6</v>
      </c>
      <c r="F25" s="4" t="str">
        <f>HYPERLINK("http://141.218.60.56/~jnz1568/getInfo.php?workbook=16_14.xlsx&amp;sheet=U0&amp;row=25&amp;col=6&amp;number=4&amp;sourceID=50","4")</f>
        <v>4</v>
      </c>
      <c r="G25" s="4" t="str">
        <f>HYPERLINK("http://141.218.60.56/~jnz1568/getInfo.php?workbook=16_14.xlsx&amp;sheet=U0&amp;row=25&amp;col=7&amp;number=1.02&amp;sourceID=50","1.02")</f>
        <v>1.02</v>
      </c>
      <c r="H25" s="4" t="str">
        <f>HYPERLINK("http://141.218.60.56/~jnz1568/getInfo.php?workbook=16_14.xlsx&amp;sheet=U0&amp;row=25&amp;col=8&amp;number=4&amp;sourceID=51","4")</f>
        <v>4</v>
      </c>
      <c r="I25" s="4" t="str">
        <f>HYPERLINK("http://141.218.60.56/~jnz1568/getInfo.php?workbook=16_14.xlsx&amp;sheet=U0&amp;row=25&amp;col=9&amp;number=1.108&amp;sourceID=51","1.108")</f>
        <v>1.108</v>
      </c>
      <c r="J25" s="4" t="str">
        <f>HYPERLINK("http://141.218.60.56/~jnz1568/getInfo.php?workbook=16_14.xlsx&amp;sheet=U0&amp;row=25&amp;col=10&amp;number=4&amp;sourceID=52","4")</f>
        <v>4</v>
      </c>
      <c r="K25" s="4" t="str">
        <f>HYPERLINK("http://141.218.60.56/~jnz1568/getInfo.php?workbook=16_14.xlsx&amp;sheet=U0&amp;row=25&amp;col=11&amp;number=1.245&amp;sourceID=52","1.245")</f>
        <v>1.245</v>
      </c>
    </row>
    <row r="26" spans="1:11">
      <c r="A26" s="3"/>
      <c r="B26" s="3"/>
      <c r="C26" s="3"/>
      <c r="D26" s="3"/>
      <c r="E26" s="3">
        <v>7</v>
      </c>
      <c r="F26" s="4" t="str">
        <f>HYPERLINK("http://141.218.60.56/~jnz1568/getInfo.php?workbook=16_14.xlsx&amp;sheet=U0&amp;row=26&amp;col=6&amp;number=4.2&amp;sourceID=50","4.2")</f>
        <v>4.2</v>
      </c>
      <c r="G26" s="4" t="str">
        <f>HYPERLINK("http://141.218.60.56/~jnz1568/getInfo.php?workbook=16_14.xlsx&amp;sheet=U0&amp;row=26&amp;col=7&amp;number=1.11&amp;sourceID=50","1.11")</f>
        <v>1.11</v>
      </c>
      <c r="H26" s="4" t="str">
        <f>HYPERLINK("http://141.218.60.56/~jnz1568/getInfo.php?workbook=16_14.xlsx&amp;sheet=U0&amp;row=26&amp;col=8&amp;number=4.2&amp;sourceID=51","4.2")</f>
        <v>4.2</v>
      </c>
      <c r="I26" s="4" t="str">
        <f>HYPERLINK("http://141.218.60.56/~jnz1568/getInfo.php?workbook=16_14.xlsx&amp;sheet=U0&amp;row=26&amp;col=9&amp;number=1.206&amp;sourceID=51","1.206")</f>
        <v>1.206</v>
      </c>
      <c r="J26" s="4" t="str">
        <f>HYPERLINK("http://141.218.60.56/~jnz1568/getInfo.php?workbook=16_14.xlsx&amp;sheet=U0&amp;row=26&amp;col=10&amp;number=4.041&amp;sourceID=52","4.041")</f>
        <v>4.041</v>
      </c>
      <c r="K26" s="4" t="str">
        <f>HYPERLINK("http://141.218.60.56/~jnz1568/getInfo.php?workbook=16_14.xlsx&amp;sheet=U0&amp;row=26&amp;col=11&amp;number=1.247&amp;sourceID=52","1.247")</f>
        <v>1.247</v>
      </c>
    </row>
    <row r="27" spans="1:11">
      <c r="A27" s="3"/>
      <c r="B27" s="3"/>
      <c r="C27" s="3"/>
      <c r="D27" s="3"/>
      <c r="E27" s="3">
        <v>8</v>
      </c>
      <c r="F27" s="4" t="str">
        <f>HYPERLINK("http://141.218.60.56/~jnz1568/getInfo.php?workbook=16_14.xlsx&amp;sheet=U0&amp;row=27&amp;col=6&amp;number=4.4&amp;sourceID=50","4.4")</f>
        <v>4.4</v>
      </c>
      <c r="G27" s="4" t="str">
        <f>HYPERLINK("http://141.218.60.56/~jnz1568/getInfo.php?workbook=16_14.xlsx&amp;sheet=U0&amp;row=27&amp;col=7&amp;number=1.23&amp;sourceID=50","1.23")</f>
        <v>1.23</v>
      </c>
      <c r="H27" s="4" t="str">
        <f>HYPERLINK("http://141.218.60.56/~jnz1568/getInfo.php?workbook=16_14.xlsx&amp;sheet=U0&amp;row=27&amp;col=8&amp;number=4.4&amp;sourceID=51","4.4")</f>
        <v>4.4</v>
      </c>
      <c r="I27" s="4" t="str">
        <f>HYPERLINK("http://141.218.60.56/~jnz1568/getInfo.php?workbook=16_14.xlsx&amp;sheet=U0&amp;row=27&amp;col=9&amp;number=1.327&amp;sourceID=51","1.327")</f>
        <v>1.327</v>
      </c>
      <c r="J27" s="4" t="str">
        <f>HYPERLINK("http://141.218.60.56/~jnz1568/getInfo.php?workbook=16_14.xlsx&amp;sheet=U0&amp;row=27&amp;col=10&amp;number=4.079&amp;sourceID=52","4.079")</f>
        <v>4.079</v>
      </c>
      <c r="K27" s="4" t="str">
        <f>HYPERLINK("http://141.218.60.56/~jnz1568/getInfo.php?workbook=16_14.xlsx&amp;sheet=U0&amp;row=27&amp;col=11&amp;number=1.252&amp;sourceID=52","1.252")</f>
        <v>1.252</v>
      </c>
    </row>
    <row r="28" spans="1:11">
      <c r="A28" s="3"/>
      <c r="B28" s="3"/>
      <c r="C28" s="3"/>
      <c r="D28" s="3"/>
      <c r="E28" s="3">
        <v>9</v>
      </c>
      <c r="F28" s="4" t="str">
        <f>HYPERLINK("http://141.218.60.56/~jnz1568/getInfo.php?workbook=16_14.xlsx&amp;sheet=U0&amp;row=28&amp;col=6&amp;number=4.6&amp;sourceID=50","4.6")</f>
        <v>4.6</v>
      </c>
      <c r="G28" s="4" t="str">
        <f>HYPERLINK("http://141.218.60.56/~jnz1568/getInfo.php?workbook=16_14.xlsx&amp;sheet=U0&amp;row=28&amp;col=7&amp;number=1.31&amp;sourceID=50","1.31")</f>
        <v>1.31</v>
      </c>
      <c r="H28" s="4" t="str">
        <f>HYPERLINK("http://141.218.60.56/~jnz1568/getInfo.php?workbook=16_14.xlsx&amp;sheet=U0&amp;row=28&amp;col=8&amp;number=4.6&amp;sourceID=51","4.6")</f>
        <v>4.6</v>
      </c>
      <c r="I28" s="4" t="str">
        <f>HYPERLINK("http://141.218.60.56/~jnz1568/getInfo.php?workbook=16_14.xlsx&amp;sheet=U0&amp;row=28&amp;col=9&amp;number=1.413&amp;sourceID=51","1.413")</f>
        <v>1.413</v>
      </c>
      <c r="J28" s="4" t="str">
        <f>HYPERLINK("http://141.218.60.56/~jnz1568/getInfo.php?workbook=16_14.xlsx&amp;sheet=U0&amp;row=28&amp;col=10&amp;number=4.114&amp;sourceID=52","4.114")</f>
        <v>4.114</v>
      </c>
      <c r="K28" s="4" t="str">
        <f>HYPERLINK("http://141.218.60.56/~jnz1568/getInfo.php?workbook=16_14.xlsx&amp;sheet=U0&amp;row=28&amp;col=11&amp;number=1.259&amp;sourceID=52","1.259")</f>
        <v>1.259</v>
      </c>
    </row>
    <row r="29" spans="1:11">
      <c r="A29" s="3"/>
      <c r="B29" s="3"/>
      <c r="C29" s="3"/>
      <c r="D29" s="3"/>
      <c r="E29" s="3">
        <v>10</v>
      </c>
      <c r="F29" s="4" t="str">
        <f>HYPERLINK("http://141.218.60.56/~jnz1568/getInfo.php?workbook=16_14.xlsx&amp;sheet=U0&amp;row=29&amp;col=6&amp;number=4.8&amp;sourceID=50","4.8")</f>
        <v>4.8</v>
      </c>
      <c r="G29" s="4" t="str">
        <f>HYPERLINK("http://141.218.60.56/~jnz1568/getInfo.php?workbook=16_14.xlsx&amp;sheet=U0&amp;row=29&amp;col=7&amp;number=1.31&amp;sourceID=50","1.31")</f>
        <v>1.31</v>
      </c>
      <c r="H29" s="4" t="str">
        <f>HYPERLINK("http://141.218.60.56/~jnz1568/getInfo.php?workbook=16_14.xlsx&amp;sheet=U0&amp;row=29&amp;col=8&amp;number=4.8&amp;sourceID=51","4.8")</f>
        <v>4.8</v>
      </c>
      <c r="I29" s="4" t="str">
        <f>HYPERLINK("http://141.218.60.56/~jnz1568/getInfo.php?workbook=16_14.xlsx&amp;sheet=U0&amp;row=29&amp;col=9&amp;number=1.413&amp;sourceID=51","1.413")</f>
        <v>1.413</v>
      </c>
      <c r="J29" s="4" t="str">
        <f>HYPERLINK("http://141.218.60.56/~jnz1568/getInfo.php?workbook=16_14.xlsx&amp;sheet=U0&amp;row=29&amp;col=10&amp;number=4.146&amp;sourceID=52","4.146")</f>
        <v>4.146</v>
      </c>
      <c r="K29" s="4" t="str">
        <f>HYPERLINK("http://141.218.60.56/~jnz1568/getInfo.php?workbook=16_14.xlsx&amp;sheet=U0&amp;row=29&amp;col=11&amp;number=1.268&amp;sourceID=52","1.268")</f>
        <v>1.268</v>
      </c>
    </row>
    <row r="30" spans="1:11">
      <c r="A30" s="3"/>
      <c r="B30" s="3"/>
      <c r="C30" s="3"/>
      <c r="D30" s="3"/>
      <c r="E30" s="3">
        <v>11</v>
      </c>
      <c r="F30" s="4" t="str">
        <f>HYPERLINK("http://141.218.60.56/~jnz1568/getInfo.php?workbook=16_14.xlsx&amp;sheet=U0&amp;row=30&amp;col=6&amp;number=5&amp;sourceID=50","5")</f>
        <v>5</v>
      </c>
      <c r="G30" s="4" t="str">
        <f>HYPERLINK("http://141.218.60.56/~jnz1568/getInfo.php?workbook=16_14.xlsx&amp;sheet=U0&amp;row=30&amp;col=7&amp;number=1.22&amp;sourceID=50","1.22")</f>
        <v>1.22</v>
      </c>
      <c r="H30" s="4" t="str">
        <f>HYPERLINK("http://141.218.60.56/~jnz1568/getInfo.php?workbook=16_14.xlsx&amp;sheet=U0&amp;row=30&amp;col=8&amp;number=5&amp;sourceID=51","5")</f>
        <v>5</v>
      </c>
      <c r="I30" s="4" t="str">
        <f>HYPERLINK("http://141.218.60.56/~jnz1568/getInfo.php?workbook=16_14.xlsx&amp;sheet=U0&amp;row=30&amp;col=9&amp;number=1.31&amp;sourceID=51","1.31")</f>
        <v>1.31</v>
      </c>
      <c r="J30" s="4" t="str">
        <f>HYPERLINK("http://141.218.60.56/~jnz1568/getInfo.php?workbook=16_14.xlsx&amp;sheet=U0&amp;row=30&amp;col=10&amp;number=4.176&amp;sourceID=52","4.176")</f>
        <v>4.176</v>
      </c>
      <c r="K30" s="4" t="str">
        <f>HYPERLINK("http://141.218.60.56/~jnz1568/getInfo.php?workbook=16_14.xlsx&amp;sheet=U0&amp;row=30&amp;col=11&amp;number=1.278&amp;sourceID=52","1.278")</f>
        <v>1.278</v>
      </c>
    </row>
    <row r="31" spans="1:11">
      <c r="A31" s="3"/>
      <c r="B31" s="3"/>
      <c r="C31" s="3"/>
      <c r="D31" s="3"/>
      <c r="E31" s="3">
        <v>12</v>
      </c>
      <c r="F31" s="4" t="str">
        <f>HYPERLINK("http://141.218.60.56/~jnz1568/getInfo.php?workbook=16_14.xlsx&amp;sheet=U0&amp;row=31&amp;col=6&amp;number=5.2&amp;sourceID=50","5.2")</f>
        <v>5.2</v>
      </c>
      <c r="G31" s="4" t="str">
        <f>HYPERLINK("http://141.218.60.56/~jnz1568/getInfo.php?workbook=16_14.xlsx&amp;sheet=U0&amp;row=31&amp;col=7&amp;number=1.06&amp;sourceID=50","1.06")</f>
        <v>1.06</v>
      </c>
      <c r="H31" s="4" t="str">
        <f>HYPERLINK("http://141.218.60.56/~jnz1568/getInfo.php?workbook=16_14.xlsx&amp;sheet=U0&amp;row=31&amp;col=8&amp;number=&amp;sourceID=51","")</f>
        <v/>
      </c>
      <c r="I31" s="4" t="str">
        <f>HYPERLINK("http://141.218.60.56/~jnz1568/getInfo.php?workbook=16_14.xlsx&amp;sheet=U0&amp;row=31&amp;col=9&amp;number=&amp;sourceID=51","")</f>
        <v/>
      </c>
      <c r="J31" s="4" t="str">
        <f>HYPERLINK("http://141.218.60.56/~jnz1568/getInfo.php?workbook=16_14.xlsx&amp;sheet=U0&amp;row=31&amp;col=10&amp;number=4.204&amp;sourceID=52","4.204")</f>
        <v>4.204</v>
      </c>
      <c r="K31" s="4" t="str">
        <f>HYPERLINK("http://141.218.60.56/~jnz1568/getInfo.php?workbook=16_14.xlsx&amp;sheet=U0&amp;row=31&amp;col=11&amp;number=1.288&amp;sourceID=52","1.288")</f>
        <v>1.288</v>
      </c>
    </row>
    <row r="32" spans="1:11">
      <c r="A32" s="3"/>
      <c r="B32" s="3"/>
      <c r="C32" s="3"/>
      <c r="D32" s="3"/>
      <c r="E32" s="3">
        <v>13</v>
      </c>
      <c r="F32" s="4" t="str">
        <f>HYPERLINK("http://141.218.60.56/~jnz1568/getInfo.php?workbook=16_14.xlsx&amp;sheet=U0&amp;row=32&amp;col=6&amp;number=5.4&amp;sourceID=50","5.4")</f>
        <v>5.4</v>
      </c>
      <c r="G32" s="4" t="str">
        <f>HYPERLINK("http://141.218.60.56/~jnz1568/getInfo.php?workbook=16_14.xlsx&amp;sheet=U0&amp;row=32&amp;col=7&amp;number=0.874&amp;sourceID=50","0.874")</f>
        <v>0.874</v>
      </c>
      <c r="H32" s="4" t="str">
        <f>HYPERLINK("http://141.218.60.56/~jnz1568/getInfo.php?workbook=16_14.xlsx&amp;sheet=U0&amp;row=32&amp;col=8&amp;number=&amp;sourceID=51","")</f>
        <v/>
      </c>
      <c r="I32" s="4" t="str">
        <f>HYPERLINK("http://141.218.60.56/~jnz1568/getInfo.php?workbook=16_14.xlsx&amp;sheet=U0&amp;row=32&amp;col=9&amp;number=&amp;sourceID=51","")</f>
        <v/>
      </c>
      <c r="J32" s="4" t="str">
        <f>HYPERLINK("http://141.218.60.56/~jnz1568/getInfo.php?workbook=16_14.xlsx&amp;sheet=U0&amp;row=32&amp;col=10&amp;number=4.23&amp;sourceID=52","4.23")</f>
        <v>4.23</v>
      </c>
      <c r="K32" s="4" t="str">
        <f>HYPERLINK("http://141.218.60.56/~jnz1568/getInfo.php?workbook=16_14.xlsx&amp;sheet=U0&amp;row=32&amp;col=11&amp;number=1.299&amp;sourceID=52","1.299")</f>
        <v>1.299</v>
      </c>
    </row>
    <row r="33" spans="1:11">
      <c r="A33" s="3"/>
      <c r="B33" s="3"/>
      <c r="C33" s="3"/>
      <c r="D33" s="3"/>
      <c r="E33" s="3">
        <v>14</v>
      </c>
      <c r="F33" s="4" t="str">
        <f>HYPERLINK("http://141.218.60.56/~jnz1568/getInfo.php?workbook=16_14.xlsx&amp;sheet=U0&amp;row=33&amp;col=6&amp;number=5.6&amp;sourceID=50","5.6")</f>
        <v>5.6</v>
      </c>
      <c r="G33" s="4" t="str">
        <f>HYPERLINK("http://141.218.60.56/~jnz1568/getInfo.php?workbook=16_14.xlsx&amp;sheet=U0&amp;row=33&amp;col=7&amp;number=0.696&amp;sourceID=50","0.696")</f>
        <v>0.696</v>
      </c>
      <c r="H33" s="4" t="str">
        <f>HYPERLINK("http://141.218.60.56/~jnz1568/getInfo.php?workbook=16_14.xlsx&amp;sheet=U0&amp;row=33&amp;col=8&amp;number=&amp;sourceID=51","")</f>
        <v/>
      </c>
      <c r="I33" s="4" t="str">
        <f>HYPERLINK("http://141.218.60.56/~jnz1568/getInfo.php?workbook=16_14.xlsx&amp;sheet=U0&amp;row=33&amp;col=9&amp;number=&amp;sourceID=51","")</f>
        <v/>
      </c>
      <c r="J33" s="4" t="str">
        <f>HYPERLINK("http://141.218.60.56/~jnz1568/getInfo.php?workbook=16_14.xlsx&amp;sheet=U0&amp;row=33&amp;col=10&amp;number=4.255&amp;sourceID=52","4.255")</f>
        <v>4.255</v>
      </c>
      <c r="K33" s="4" t="str">
        <f>HYPERLINK("http://141.218.60.56/~jnz1568/getInfo.php?workbook=16_14.xlsx&amp;sheet=U0&amp;row=33&amp;col=11&amp;number=1.31&amp;sourceID=52","1.31")</f>
        <v>1.31</v>
      </c>
    </row>
    <row r="34" spans="1:11">
      <c r="A34" s="3"/>
      <c r="B34" s="3"/>
      <c r="C34" s="3"/>
      <c r="D34" s="3"/>
      <c r="E34" s="3">
        <v>15</v>
      </c>
      <c r="F34" s="4" t="str">
        <f>HYPERLINK("http://141.218.60.56/~jnz1568/getInfo.php?workbook=16_14.xlsx&amp;sheet=U0&amp;row=34&amp;col=6&amp;number=5.8&amp;sourceID=50","5.8")</f>
        <v>5.8</v>
      </c>
      <c r="G34" s="4" t="str">
        <f>HYPERLINK("http://141.218.60.56/~jnz1568/getInfo.php?workbook=16_14.xlsx&amp;sheet=U0&amp;row=34&amp;col=7&amp;number=0.545&amp;sourceID=50","0.545")</f>
        <v>0.545</v>
      </c>
      <c r="H34" s="4" t="str">
        <f>HYPERLINK("http://141.218.60.56/~jnz1568/getInfo.php?workbook=16_14.xlsx&amp;sheet=U0&amp;row=34&amp;col=8&amp;number=&amp;sourceID=51","")</f>
        <v/>
      </c>
      <c r="I34" s="4" t="str">
        <f>HYPERLINK("http://141.218.60.56/~jnz1568/getInfo.php?workbook=16_14.xlsx&amp;sheet=U0&amp;row=34&amp;col=9&amp;number=&amp;sourceID=51","")</f>
        <v/>
      </c>
      <c r="J34" s="4" t="str">
        <f>HYPERLINK("http://141.218.60.56/~jnz1568/getInfo.php?workbook=16_14.xlsx&amp;sheet=U0&amp;row=34&amp;col=10&amp;number=4.279&amp;sourceID=52","4.279")</f>
        <v>4.279</v>
      </c>
      <c r="K34" s="4" t="str">
        <f>HYPERLINK("http://141.218.60.56/~jnz1568/getInfo.php?workbook=16_14.xlsx&amp;sheet=U0&amp;row=34&amp;col=11&amp;number=1.321&amp;sourceID=52","1.321")</f>
        <v>1.321</v>
      </c>
    </row>
    <row r="35" spans="1:11">
      <c r="A35" s="3"/>
      <c r="B35" s="3"/>
      <c r="C35" s="3"/>
      <c r="D35" s="3"/>
      <c r="E35" s="3">
        <v>16</v>
      </c>
      <c r="F35" s="4" t="str">
        <f>HYPERLINK("http://141.218.60.56/~jnz1568/getInfo.php?workbook=16_14.xlsx&amp;sheet=U0&amp;row=35&amp;col=6&amp;number=6&amp;sourceID=50","6")</f>
        <v>6</v>
      </c>
      <c r="G35" s="4" t="str">
        <f>HYPERLINK("http://141.218.60.56/~jnz1568/getInfo.php?workbook=16_14.xlsx&amp;sheet=U0&amp;row=35&amp;col=7&amp;number=0.423&amp;sourceID=50","0.423")</f>
        <v>0.423</v>
      </c>
      <c r="H35" s="4" t="str">
        <f>HYPERLINK("http://141.218.60.56/~jnz1568/getInfo.php?workbook=16_14.xlsx&amp;sheet=U0&amp;row=35&amp;col=8&amp;number=&amp;sourceID=51","")</f>
        <v/>
      </c>
      <c r="I35" s="4" t="str">
        <f>HYPERLINK("http://141.218.60.56/~jnz1568/getInfo.php?workbook=16_14.xlsx&amp;sheet=U0&amp;row=35&amp;col=9&amp;number=&amp;sourceID=51","")</f>
        <v/>
      </c>
      <c r="J35" s="4" t="str">
        <f>HYPERLINK("http://141.218.60.56/~jnz1568/getInfo.php?workbook=16_14.xlsx&amp;sheet=U0&amp;row=35&amp;col=10&amp;number=4.301&amp;sourceID=52","4.301")</f>
        <v>4.301</v>
      </c>
      <c r="K35" s="4" t="str">
        <f>HYPERLINK("http://141.218.60.56/~jnz1568/getInfo.php?workbook=16_14.xlsx&amp;sheet=U0&amp;row=35&amp;col=11&amp;number=1.332&amp;sourceID=52","1.332")</f>
        <v>1.332</v>
      </c>
    </row>
    <row r="36" spans="1:11">
      <c r="A36" s="3">
        <v>16</v>
      </c>
      <c r="B36" s="3">
        <v>14</v>
      </c>
      <c r="C36" s="3">
        <v>3</v>
      </c>
      <c r="D36" s="3">
        <v>2</v>
      </c>
      <c r="E36" s="3">
        <v>1</v>
      </c>
      <c r="F36" s="4" t="str">
        <f>HYPERLINK("http://141.218.60.56/~jnz1568/getInfo.php?workbook=16_14.xlsx&amp;sheet=U0&amp;row=36&amp;col=6&amp;number=3&amp;sourceID=50","3")</f>
        <v>3</v>
      </c>
      <c r="G36" s="4" t="str">
        <f>HYPERLINK("http://141.218.60.56/~jnz1568/getInfo.php?workbook=16_14.xlsx&amp;sheet=U0&amp;row=36&amp;col=7&amp;number=4.82&amp;sourceID=50","4.82")</f>
        <v>4.82</v>
      </c>
      <c r="H36" s="4" t="str">
        <f>HYPERLINK("http://141.218.60.56/~jnz1568/getInfo.php?workbook=16_14.xlsx&amp;sheet=U0&amp;row=36&amp;col=8&amp;number=3&amp;sourceID=51","3")</f>
        <v>3</v>
      </c>
      <c r="I36" s="4" t="str">
        <f>HYPERLINK("http://141.218.60.56/~jnz1568/getInfo.php?workbook=16_14.xlsx&amp;sheet=U0&amp;row=36&amp;col=9&amp;number=3.962&amp;sourceID=51","3.962")</f>
        <v>3.962</v>
      </c>
      <c r="J36" s="4" t="str">
        <f>HYPERLINK("http://141.218.60.56/~jnz1568/getInfo.php?workbook=16_14.xlsx&amp;sheet=U0&amp;row=36&amp;col=10&amp;number=3.699&amp;sourceID=52","3.699")</f>
        <v>3.699</v>
      </c>
      <c r="K36" s="4" t="str">
        <f>HYPERLINK("http://141.218.60.56/~jnz1568/getInfo.php?workbook=16_14.xlsx&amp;sheet=U0&amp;row=36&amp;col=11&amp;number=6.196&amp;sourceID=52","6.196")</f>
        <v>6.196</v>
      </c>
    </row>
    <row r="37" spans="1:11">
      <c r="A37" s="3"/>
      <c r="B37" s="3"/>
      <c r="C37" s="3"/>
      <c r="D37" s="3"/>
      <c r="E37" s="3">
        <v>2</v>
      </c>
      <c r="F37" s="4" t="str">
        <f>HYPERLINK("http://141.218.60.56/~jnz1568/getInfo.php?workbook=16_14.xlsx&amp;sheet=U0&amp;row=37&amp;col=6&amp;number=3.2&amp;sourceID=50","3.2")</f>
        <v>3.2</v>
      </c>
      <c r="G37" s="4" t="str">
        <f>HYPERLINK("http://141.218.60.56/~jnz1568/getInfo.php?workbook=16_14.xlsx&amp;sheet=U0&amp;row=37&amp;col=7&amp;number=4.8&amp;sourceID=50","4.8")</f>
        <v>4.8</v>
      </c>
      <c r="H37" s="4" t="str">
        <f>HYPERLINK("http://141.218.60.56/~jnz1568/getInfo.php?workbook=16_14.xlsx&amp;sheet=U0&amp;row=37&amp;col=8&amp;number=3.2&amp;sourceID=51","3.2")</f>
        <v>3.2</v>
      </c>
      <c r="I37" s="4" t="str">
        <f>HYPERLINK("http://141.218.60.56/~jnz1568/getInfo.php?workbook=16_14.xlsx&amp;sheet=U0&amp;row=37&amp;col=9&amp;number=4.165&amp;sourceID=51","4.165")</f>
        <v>4.165</v>
      </c>
      <c r="J37" s="4" t="str">
        <f>HYPERLINK("http://141.218.60.56/~jnz1568/getInfo.php?workbook=16_14.xlsx&amp;sheet=U0&amp;row=37&amp;col=10&amp;number=3.778&amp;sourceID=52","3.778")</f>
        <v>3.778</v>
      </c>
      <c r="K37" s="4" t="str">
        <f>HYPERLINK("http://141.218.60.56/~jnz1568/getInfo.php?workbook=16_14.xlsx&amp;sheet=U0&amp;row=37&amp;col=11&amp;number=6.132&amp;sourceID=52","6.132")</f>
        <v>6.132</v>
      </c>
    </row>
    <row r="38" spans="1:11">
      <c r="A38" s="3"/>
      <c r="B38" s="3"/>
      <c r="C38" s="3"/>
      <c r="D38" s="3"/>
      <c r="E38" s="3">
        <v>3</v>
      </c>
      <c r="F38" s="4" t="str">
        <f>HYPERLINK("http://141.218.60.56/~jnz1568/getInfo.php?workbook=16_14.xlsx&amp;sheet=U0&amp;row=38&amp;col=6&amp;number=3.4&amp;sourceID=50","3.4")</f>
        <v>3.4</v>
      </c>
      <c r="G38" s="4" t="str">
        <f>HYPERLINK("http://141.218.60.56/~jnz1568/getInfo.php?workbook=16_14.xlsx&amp;sheet=U0&amp;row=38&amp;col=7&amp;number=4.79&amp;sourceID=50","4.79")</f>
        <v>4.79</v>
      </c>
      <c r="H38" s="4" t="str">
        <f>HYPERLINK("http://141.218.60.56/~jnz1568/getInfo.php?workbook=16_14.xlsx&amp;sheet=U0&amp;row=38&amp;col=8&amp;number=3.4&amp;sourceID=51","3.4")</f>
        <v>3.4</v>
      </c>
      <c r="I38" s="4" t="str">
        <f>HYPERLINK("http://141.218.60.56/~jnz1568/getInfo.php?workbook=16_14.xlsx&amp;sheet=U0&amp;row=38&amp;col=9&amp;number=4.454&amp;sourceID=51","4.454")</f>
        <v>4.454</v>
      </c>
      <c r="J38" s="4" t="str">
        <f>HYPERLINK("http://141.218.60.56/~jnz1568/getInfo.php?workbook=16_14.xlsx&amp;sheet=U0&amp;row=38&amp;col=10&amp;number=3.845&amp;sourceID=52","3.845")</f>
        <v>3.845</v>
      </c>
      <c r="K38" s="4" t="str">
        <f>HYPERLINK("http://141.218.60.56/~jnz1568/getInfo.php?workbook=16_14.xlsx&amp;sheet=U0&amp;row=38&amp;col=11&amp;number=6.086&amp;sourceID=52","6.086")</f>
        <v>6.086</v>
      </c>
    </row>
    <row r="39" spans="1:11">
      <c r="A39" s="3"/>
      <c r="B39" s="3"/>
      <c r="C39" s="3"/>
      <c r="D39" s="3"/>
      <c r="E39" s="3">
        <v>4</v>
      </c>
      <c r="F39" s="4" t="str">
        <f>HYPERLINK("http://141.218.60.56/~jnz1568/getInfo.php?workbook=16_14.xlsx&amp;sheet=U0&amp;row=39&amp;col=6&amp;number=3.6&amp;sourceID=50","3.6")</f>
        <v>3.6</v>
      </c>
      <c r="G39" s="4" t="str">
        <f>HYPERLINK("http://141.218.60.56/~jnz1568/getInfo.php?workbook=16_14.xlsx&amp;sheet=U0&amp;row=39&amp;col=7&amp;number=4.9&amp;sourceID=50","4.9")</f>
        <v>4.9</v>
      </c>
      <c r="H39" s="4" t="str">
        <f>HYPERLINK("http://141.218.60.56/~jnz1568/getInfo.php?workbook=16_14.xlsx&amp;sheet=U0&amp;row=39&amp;col=8&amp;number=3.6&amp;sourceID=51","3.6")</f>
        <v>3.6</v>
      </c>
      <c r="I39" s="4" t="str">
        <f>HYPERLINK("http://141.218.60.56/~jnz1568/getInfo.php?workbook=16_14.xlsx&amp;sheet=U0&amp;row=39&amp;col=9&amp;number=4.853&amp;sourceID=51","4.853")</f>
        <v>4.853</v>
      </c>
      <c r="J39" s="4" t="str">
        <f>HYPERLINK("http://141.218.60.56/~jnz1568/getInfo.php?workbook=16_14.xlsx&amp;sheet=U0&amp;row=39&amp;col=10&amp;number=3.903&amp;sourceID=52","3.903")</f>
        <v>3.903</v>
      </c>
      <c r="K39" s="4" t="str">
        <f>HYPERLINK("http://141.218.60.56/~jnz1568/getInfo.php?workbook=16_14.xlsx&amp;sheet=U0&amp;row=39&amp;col=11&amp;number=6.05&amp;sourceID=52","6.05")</f>
        <v>6.05</v>
      </c>
    </row>
    <row r="40" spans="1:11">
      <c r="A40" s="3"/>
      <c r="B40" s="3"/>
      <c r="C40" s="3"/>
      <c r="D40" s="3"/>
      <c r="E40" s="3">
        <v>5</v>
      </c>
      <c r="F40" s="4" t="str">
        <f>HYPERLINK("http://141.218.60.56/~jnz1568/getInfo.php?workbook=16_14.xlsx&amp;sheet=U0&amp;row=40&amp;col=6&amp;number=3.8&amp;sourceID=50","3.8")</f>
        <v>3.8</v>
      </c>
      <c r="G40" s="4" t="str">
        <f>HYPERLINK("http://141.218.60.56/~jnz1568/getInfo.php?workbook=16_14.xlsx&amp;sheet=U0&amp;row=40&amp;col=7&amp;number=5.03&amp;sourceID=50","5.03")</f>
        <v>5.03</v>
      </c>
      <c r="H40" s="4" t="str">
        <f>HYPERLINK("http://141.218.60.56/~jnz1568/getInfo.php?workbook=16_14.xlsx&amp;sheet=U0&amp;row=40&amp;col=8&amp;number=3.8&amp;sourceID=51","3.8")</f>
        <v>3.8</v>
      </c>
      <c r="I40" s="4" t="str">
        <f>HYPERLINK("http://141.218.60.56/~jnz1568/getInfo.php?workbook=16_14.xlsx&amp;sheet=U0&amp;row=40&amp;col=9&amp;number=5.203&amp;sourceID=51","5.203")</f>
        <v>5.203</v>
      </c>
      <c r="J40" s="4" t="str">
        <f>HYPERLINK("http://141.218.60.56/~jnz1568/getInfo.php?workbook=16_14.xlsx&amp;sheet=U0&amp;row=40&amp;col=10&amp;number=3.954&amp;sourceID=52","3.954")</f>
        <v>3.954</v>
      </c>
      <c r="K40" s="4" t="str">
        <f>HYPERLINK("http://141.218.60.56/~jnz1568/getInfo.php?workbook=16_14.xlsx&amp;sheet=U0&amp;row=40&amp;col=11&amp;number=6.022&amp;sourceID=52","6.022")</f>
        <v>6.022</v>
      </c>
    </row>
    <row r="41" spans="1:11">
      <c r="A41" s="3"/>
      <c r="B41" s="3"/>
      <c r="C41" s="3"/>
      <c r="D41" s="3"/>
      <c r="E41" s="3">
        <v>6</v>
      </c>
      <c r="F41" s="4" t="str">
        <f>HYPERLINK("http://141.218.60.56/~jnz1568/getInfo.php?workbook=16_14.xlsx&amp;sheet=U0&amp;row=41&amp;col=6&amp;number=4&amp;sourceID=50","4")</f>
        <v>4</v>
      </c>
      <c r="G41" s="4" t="str">
        <f>HYPERLINK("http://141.218.60.56/~jnz1568/getInfo.php?workbook=16_14.xlsx&amp;sheet=U0&amp;row=41&amp;col=7&amp;number=5.1&amp;sourceID=50","5.1")</f>
        <v>5.1</v>
      </c>
      <c r="H41" s="4" t="str">
        <f>HYPERLINK("http://141.218.60.56/~jnz1568/getInfo.php?workbook=16_14.xlsx&amp;sheet=U0&amp;row=41&amp;col=8&amp;number=4&amp;sourceID=51","4")</f>
        <v>4</v>
      </c>
      <c r="I41" s="4" t="str">
        <f>HYPERLINK("http://141.218.60.56/~jnz1568/getInfo.php?workbook=16_14.xlsx&amp;sheet=U0&amp;row=41&amp;col=9&amp;number=5.405&amp;sourceID=51","5.405")</f>
        <v>5.405</v>
      </c>
      <c r="J41" s="4" t="str">
        <f>HYPERLINK("http://141.218.60.56/~jnz1568/getInfo.php?workbook=16_14.xlsx&amp;sheet=U0&amp;row=41&amp;col=10&amp;number=4&amp;sourceID=52","4")</f>
        <v>4</v>
      </c>
      <c r="K41" s="4" t="str">
        <f>HYPERLINK("http://141.218.60.56/~jnz1568/getInfo.php?workbook=16_14.xlsx&amp;sheet=U0&amp;row=41&amp;col=11&amp;number=6.001&amp;sourceID=52","6.001")</f>
        <v>6.001</v>
      </c>
    </row>
    <row r="42" spans="1:11">
      <c r="A42" s="3"/>
      <c r="B42" s="3"/>
      <c r="C42" s="3"/>
      <c r="D42" s="3"/>
      <c r="E42" s="3">
        <v>7</v>
      </c>
      <c r="F42" s="4" t="str">
        <f>HYPERLINK("http://141.218.60.56/~jnz1568/getInfo.php?workbook=16_14.xlsx&amp;sheet=U0&amp;row=42&amp;col=6&amp;number=4.2&amp;sourceID=50","4.2")</f>
        <v>4.2</v>
      </c>
      <c r="G42" s="4" t="str">
        <f>HYPERLINK("http://141.218.60.56/~jnz1568/getInfo.php?workbook=16_14.xlsx&amp;sheet=U0&amp;row=42&amp;col=7&amp;number=5.19&amp;sourceID=50","5.19")</f>
        <v>5.19</v>
      </c>
      <c r="H42" s="4" t="str">
        <f>HYPERLINK("http://141.218.60.56/~jnz1568/getInfo.php?workbook=16_14.xlsx&amp;sheet=U0&amp;row=42&amp;col=8&amp;number=4.2&amp;sourceID=51","4.2")</f>
        <v>4.2</v>
      </c>
      <c r="I42" s="4" t="str">
        <f>HYPERLINK("http://141.218.60.56/~jnz1568/getInfo.php?workbook=16_14.xlsx&amp;sheet=U0&amp;row=42&amp;col=9&amp;number=5.559&amp;sourceID=51","5.559")</f>
        <v>5.559</v>
      </c>
      <c r="J42" s="4" t="str">
        <f>HYPERLINK("http://141.218.60.56/~jnz1568/getInfo.php?workbook=16_14.xlsx&amp;sheet=U0&amp;row=42&amp;col=10&amp;number=4.041&amp;sourceID=52","4.041")</f>
        <v>4.041</v>
      </c>
      <c r="K42" s="4" t="str">
        <f>HYPERLINK("http://141.218.60.56/~jnz1568/getInfo.php?workbook=16_14.xlsx&amp;sheet=U0&amp;row=42&amp;col=11&amp;number=5.985&amp;sourceID=52","5.985")</f>
        <v>5.985</v>
      </c>
    </row>
    <row r="43" spans="1:11">
      <c r="A43" s="3"/>
      <c r="B43" s="3"/>
      <c r="C43" s="3"/>
      <c r="D43" s="3"/>
      <c r="E43" s="3">
        <v>8</v>
      </c>
      <c r="F43" s="4" t="str">
        <f>HYPERLINK("http://141.218.60.56/~jnz1568/getInfo.php?workbook=16_14.xlsx&amp;sheet=U0&amp;row=43&amp;col=6&amp;number=4.4&amp;sourceID=50","4.4")</f>
        <v>4.4</v>
      </c>
      <c r="G43" s="4" t="str">
        <f>HYPERLINK("http://141.218.60.56/~jnz1568/getInfo.php?workbook=16_14.xlsx&amp;sheet=U0&amp;row=43&amp;col=7&amp;number=5.31&amp;sourceID=50","5.31")</f>
        <v>5.31</v>
      </c>
      <c r="H43" s="4" t="str">
        <f>HYPERLINK("http://141.218.60.56/~jnz1568/getInfo.php?workbook=16_14.xlsx&amp;sheet=U0&amp;row=43&amp;col=8&amp;number=4.4&amp;sourceID=51","4.4")</f>
        <v>4.4</v>
      </c>
      <c r="I43" s="4" t="str">
        <f>HYPERLINK("http://141.218.60.56/~jnz1568/getInfo.php?workbook=16_14.xlsx&amp;sheet=U0&amp;row=43&amp;col=9&amp;number=5.714&amp;sourceID=51","5.714")</f>
        <v>5.714</v>
      </c>
      <c r="J43" s="4" t="str">
        <f>HYPERLINK("http://141.218.60.56/~jnz1568/getInfo.php?workbook=16_14.xlsx&amp;sheet=U0&amp;row=43&amp;col=10&amp;number=4.079&amp;sourceID=52","4.079")</f>
        <v>4.079</v>
      </c>
      <c r="K43" s="4" t="str">
        <f>HYPERLINK("http://141.218.60.56/~jnz1568/getInfo.php?workbook=16_14.xlsx&amp;sheet=U0&amp;row=43&amp;col=11&amp;number=5.974&amp;sourceID=52","5.974")</f>
        <v>5.974</v>
      </c>
    </row>
    <row r="44" spans="1:11">
      <c r="A44" s="3"/>
      <c r="B44" s="3"/>
      <c r="C44" s="3"/>
      <c r="D44" s="3"/>
      <c r="E44" s="3">
        <v>9</v>
      </c>
      <c r="F44" s="4" t="str">
        <f>HYPERLINK("http://141.218.60.56/~jnz1568/getInfo.php?workbook=16_14.xlsx&amp;sheet=U0&amp;row=44&amp;col=6&amp;number=4.6&amp;sourceID=50","4.6")</f>
        <v>4.6</v>
      </c>
      <c r="G44" s="4" t="str">
        <f>HYPERLINK("http://141.218.60.56/~jnz1568/getInfo.php?workbook=16_14.xlsx&amp;sheet=U0&amp;row=44&amp;col=7&amp;number=5.36&amp;sourceID=50","5.36")</f>
        <v>5.36</v>
      </c>
      <c r="H44" s="4" t="str">
        <f>HYPERLINK("http://141.218.60.56/~jnz1568/getInfo.php?workbook=16_14.xlsx&amp;sheet=U0&amp;row=44&amp;col=8&amp;number=4.6&amp;sourceID=51","4.6")</f>
        <v>4.6</v>
      </c>
      <c r="I44" s="4" t="str">
        <f>HYPERLINK("http://141.218.60.56/~jnz1568/getInfo.php?workbook=16_14.xlsx&amp;sheet=U0&amp;row=44&amp;col=9&amp;number=5.775&amp;sourceID=51","5.775")</f>
        <v>5.775</v>
      </c>
      <c r="J44" s="4" t="str">
        <f>HYPERLINK("http://141.218.60.56/~jnz1568/getInfo.php?workbook=16_14.xlsx&amp;sheet=U0&amp;row=44&amp;col=10&amp;number=4.114&amp;sourceID=52","4.114")</f>
        <v>4.114</v>
      </c>
      <c r="K44" s="4" t="str">
        <f>HYPERLINK("http://141.218.60.56/~jnz1568/getInfo.php?workbook=16_14.xlsx&amp;sheet=U0&amp;row=44&amp;col=11&amp;number=5.967&amp;sourceID=52","5.967")</f>
        <v>5.967</v>
      </c>
    </row>
    <row r="45" spans="1:11">
      <c r="A45" s="3"/>
      <c r="B45" s="3"/>
      <c r="C45" s="3"/>
      <c r="D45" s="3"/>
      <c r="E45" s="3">
        <v>10</v>
      </c>
      <c r="F45" s="4" t="str">
        <f>HYPERLINK("http://141.218.60.56/~jnz1568/getInfo.php?workbook=16_14.xlsx&amp;sheet=U0&amp;row=45&amp;col=6&amp;number=4.8&amp;sourceID=50","4.8")</f>
        <v>4.8</v>
      </c>
      <c r="G45" s="4" t="str">
        <f>HYPERLINK("http://141.218.60.56/~jnz1568/getInfo.php?workbook=16_14.xlsx&amp;sheet=U0&amp;row=45&amp;col=7&amp;number=5.19&amp;sourceID=50","5.19")</f>
        <v>5.19</v>
      </c>
      <c r="H45" s="4" t="str">
        <f>HYPERLINK("http://141.218.60.56/~jnz1568/getInfo.php?workbook=16_14.xlsx&amp;sheet=U0&amp;row=45&amp;col=8&amp;number=4.8&amp;sourceID=51","4.8")</f>
        <v>4.8</v>
      </c>
      <c r="I45" s="4" t="str">
        <f>HYPERLINK("http://141.218.60.56/~jnz1568/getInfo.php?workbook=16_14.xlsx&amp;sheet=U0&amp;row=45&amp;col=9&amp;number=5.596&amp;sourceID=51","5.596")</f>
        <v>5.596</v>
      </c>
      <c r="J45" s="4" t="str">
        <f>HYPERLINK("http://141.218.60.56/~jnz1568/getInfo.php?workbook=16_14.xlsx&amp;sheet=U0&amp;row=45&amp;col=10&amp;number=4.146&amp;sourceID=52","4.146")</f>
        <v>4.146</v>
      </c>
      <c r="K45" s="4" t="str">
        <f>HYPERLINK("http://141.218.60.56/~jnz1568/getInfo.php?workbook=16_14.xlsx&amp;sheet=U0&amp;row=45&amp;col=11&amp;number=5.964&amp;sourceID=52","5.964")</f>
        <v>5.964</v>
      </c>
    </row>
    <row r="46" spans="1:11">
      <c r="A46" s="3"/>
      <c r="B46" s="3"/>
      <c r="C46" s="3"/>
      <c r="D46" s="3"/>
      <c r="E46" s="3">
        <v>11</v>
      </c>
      <c r="F46" s="4" t="str">
        <f>HYPERLINK("http://141.218.60.56/~jnz1568/getInfo.php?workbook=16_14.xlsx&amp;sheet=U0&amp;row=46&amp;col=6&amp;number=5&amp;sourceID=50","5")</f>
        <v>5</v>
      </c>
      <c r="G46" s="4" t="str">
        <f>HYPERLINK("http://141.218.60.56/~jnz1568/getInfo.php?workbook=16_14.xlsx&amp;sheet=U0&amp;row=46&amp;col=7&amp;number=4.73&amp;sourceID=50","4.73")</f>
        <v>4.73</v>
      </c>
      <c r="H46" s="4" t="str">
        <f>HYPERLINK("http://141.218.60.56/~jnz1568/getInfo.php?workbook=16_14.xlsx&amp;sheet=U0&amp;row=46&amp;col=8&amp;number=5&amp;sourceID=51","5")</f>
        <v>5</v>
      </c>
      <c r="I46" s="4" t="str">
        <f>HYPERLINK("http://141.218.60.56/~jnz1568/getInfo.php?workbook=16_14.xlsx&amp;sheet=U0&amp;row=46&amp;col=9&amp;number=5.097&amp;sourceID=51","5.097")</f>
        <v>5.097</v>
      </c>
      <c r="J46" s="4" t="str">
        <f>HYPERLINK("http://141.218.60.56/~jnz1568/getInfo.php?workbook=16_14.xlsx&amp;sheet=U0&amp;row=46&amp;col=10&amp;number=4.176&amp;sourceID=52","4.176")</f>
        <v>4.176</v>
      </c>
      <c r="K46" s="4" t="str">
        <f>HYPERLINK("http://141.218.60.56/~jnz1568/getInfo.php?workbook=16_14.xlsx&amp;sheet=U0&amp;row=46&amp;col=11&amp;number=5.964&amp;sourceID=52","5.964")</f>
        <v>5.964</v>
      </c>
    </row>
    <row r="47" spans="1:11">
      <c r="A47" s="3"/>
      <c r="B47" s="3"/>
      <c r="C47" s="3"/>
      <c r="D47" s="3"/>
      <c r="E47" s="3">
        <v>12</v>
      </c>
      <c r="F47" s="4" t="str">
        <f>HYPERLINK("http://141.218.60.56/~jnz1568/getInfo.php?workbook=16_14.xlsx&amp;sheet=U0&amp;row=47&amp;col=6&amp;number=5.2&amp;sourceID=50","5.2")</f>
        <v>5.2</v>
      </c>
      <c r="G47" s="4" t="str">
        <f>HYPERLINK("http://141.218.60.56/~jnz1568/getInfo.php?workbook=16_14.xlsx&amp;sheet=U0&amp;row=47&amp;col=7&amp;number=4.03&amp;sourceID=50","4.03")</f>
        <v>4.03</v>
      </c>
      <c r="H47" s="4" t="str">
        <f>HYPERLINK("http://141.218.60.56/~jnz1568/getInfo.php?workbook=16_14.xlsx&amp;sheet=U0&amp;row=47&amp;col=8&amp;number=&amp;sourceID=51","")</f>
        <v/>
      </c>
      <c r="I47" s="4" t="str">
        <f>HYPERLINK("http://141.218.60.56/~jnz1568/getInfo.php?workbook=16_14.xlsx&amp;sheet=U0&amp;row=47&amp;col=9&amp;number=&amp;sourceID=51","")</f>
        <v/>
      </c>
      <c r="J47" s="4" t="str">
        <f>HYPERLINK("http://141.218.60.56/~jnz1568/getInfo.php?workbook=16_14.xlsx&amp;sheet=U0&amp;row=47&amp;col=10&amp;number=4.204&amp;sourceID=52","4.204")</f>
        <v>4.204</v>
      </c>
      <c r="K47" s="4" t="str">
        <f>HYPERLINK("http://141.218.60.56/~jnz1568/getInfo.php?workbook=16_14.xlsx&amp;sheet=U0&amp;row=47&amp;col=11&amp;number=5.965&amp;sourceID=52","5.965")</f>
        <v>5.965</v>
      </c>
    </row>
    <row r="48" spans="1:11">
      <c r="A48" s="3"/>
      <c r="B48" s="3"/>
      <c r="C48" s="3"/>
      <c r="D48" s="3"/>
      <c r="E48" s="3">
        <v>13</v>
      </c>
      <c r="F48" s="4" t="str">
        <f>HYPERLINK("http://141.218.60.56/~jnz1568/getInfo.php?workbook=16_14.xlsx&amp;sheet=U0&amp;row=48&amp;col=6&amp;number=5.4&amp;sourceID=50","5.4")</f>
        <v>5.4</v>
      </c>
      <c r="G48" s="4" t="str">
        <f>HYPERLINK("http://141.218.60.56/~jnz1568/getInfo.php?workbook=16_14.xlsx&amp;sheet=U0&amp;row=48&amp;col=7&amp;number=3.25&amp;sourceID=50","3.25")</f>
        <v>3.25</v>
      </c>
      <c r="H48" s="4" t="str">
        <f>HYPERLINK("http://141.218.60.56/~jnz1568/getInfo.php?workbook=16_14.xlsx&amp;sheet=U0&amp;row=48&amp;col=8&amp;number=&amp;sourceID=51","")</f>
        <v/>
      </c>
      <c r="I48" s="4" t="str">
        <f>HYPERLINK("http://141.218.60.56/~jnz1568/getInfo.php?workbook=16_14.xlsx&amp;sheet=U0&amp;row=48&amp;col=9&amp;number=&amp;sourceID=51","")</f>
        <v/>
      </c>
      <c r="J48" s="4" t="str">
        <f>HYPERLINK("http://141.218.60.56/~jnz1568/getInfo.php?workbook=16_14.xlsx&amp;sheet=U0&amp;row=48&amp;col=10&amp;number=4.23&amp;sourceID=52","4.23")</f>
        <v>4.23</v>
      </c>
      <c r="K48" s="4" t="str">
        <f>HYPERLINK("http://141.218.60.56/~jnz1568/getInfo.php?workbook=16_14.xlsx&amp;sheet=U0&amp;row=48&amp;col=11&amp;number=5.969&amp;sourceID=52","5.969")</f>
        <v>5.969</v>
      </c>
    </row>
    <row r="49" spans="1:11">
      <c r="A49" s="3"/>
      <c r="B49" s="3"/>
      <c r="C49" s="3"/>
      <c r="D49" s="3"/>
      <c r="E49" s="3">
        <v>14</v>
      </c>
      <c r="F49" s="4" t="str">
        <f>HYPERLINK("http://141.218.60.56/~jnz1568/getInfo.php?workbook=16_14.xlsx&amp;sheet=U0&amp;row=49&amp;col=6&amp;number=5.6&amp;sourceID=50","5.6")</f>
        <v>5.6</v>
      </c>
      <c r="G49" s="4" t="str">
        <f>HYPERLINK("http://141.218.60.56/~jnz1568/getInfo.php?workbook=16_14.xlsx&amp;sheet=U0&amp;row=49&amp;col=7&amp;number=2.52&amp;sourceID=50","2.52")</f>
        <v>2.52</v>
      </c>
      <c r="H49" s="4" t="str">
        <f>HYPERLINK("http://141.218.60.56/~jnz1568/getInfo.php?workbook=16_14.xlsx&amp;sheet=U0&amp;row=49&amp;col=8&amp;number=&amp;sourceID=51","")</f>
        <v/>
      </c>
      <c r="I49" s="4" t="str">
        <f>HYPERLINK("http://141.218.60.56/~jnz1568/getInfo.php?workbook=16_14.xlsx&amp;sheet=U0&amp;row=49&amp;col=9&amp;number=&amp;sourceID=51","")</f>
        <v/>
      </c>
      <c r="J49" s="4" t="str">
        <f>HYPERLINK("http://141.218.60.56/~jnz1568/getInfo.php?workbook=16_14.xlsx&amp;sheet=U0&amp;row=49&amp;col=10&amp;number=4.255&amp;sourceID=52","4.255")</f>
        <v>4.255</v>
      </c>
      <c r="K49" s="4" t="str">
        <f>HYPERLINK("http://141.218.60.56/~jnz1568/getInfo.php?workbook=16_14.xlsx&amp;sheet=U0&amp;row=49&amp;col=11&amp;number=5.973&amp;sourceID=52","5.973")</f>
        <v>5.973</v>
      </c>
    </row>
    <row r="50" spans="1:11">
      <c r="A50" s="3"/>
      <c r="B50" s="3"/>
      <c r="C50" s="3"/>
      <c r="D50" s="3"/>
      <c r="E50" s="3">
        <v>15</v>
      </c>
      <c r="F50" s="4" t="str">
        <f>HYPERLINK("http://141.218.60.56/~jnz1568/getInfo.php?workbook=16_14.xlsx&amp;sheet=U0&amp;row=50&amp;col=6&amp;number=5.8&amp;sourceID=50","5.8")</f>
        <v>5.8</v>
      </c>
      <c r="G50" s="4" t="str">
        <f>HYPERLINK("http://141.218.60.56/~jnz1568/getInfo.php?workbook=16_14.xlsx&amp;sheet=U0&amp;row=50&amp;col=7&amp;number=1.92&amp;sourceID=50","1.92")</f>
        <v>1.92</v>
      </c>
      <c r="H50" s="4" t="str">
        <f>HYPERLINK("http://141.218.60.56/~jnz1568/getInfo.php?workbook=16_14.xlsx&amp;sheet=U0&amp;row=50&amp;col=8&amp;number=&amp;sourceID=51","")</f>
        <v/>
      </c>
      <c r="I50" s="4" t="str">
        <f>HYPERLINK("http://141.218.60.56/~jnz1568/getInfo.php?workbook=16_14.xlsx&amp;sheet=U0&amp;row=50&amp;col=9&amp;number=&amp;sourceID=51","")</f>
        <v/>
      </c>
      <c r="J50" s="4" t="str">
        <f>HYPERLINK("http://141.218.60.56/~jnz1568/getInfo.php?workbook=16_14.xlsx&amp;sheet=U0&amp;row=50&amp;col=10&amp;number=4.279&amp;sourceID=52","4.279")</f>
        <v>4.279</v>
      </c>
      <c r="K50" s="4" t="str">
        <f>HYPERLINK("http://141.218.60.56/~jnz1568/getInfo.php?workbook=16_14.xlsx&amp;sheet=U0&amp;row=50&amp;col=11&amp;number=5.979&amp;sourceID=52","5.979")</f>
        <v>5.979</v>
      </c>
    </row>
    <row r="51" spans="1:11">
      <c r="A51" s="3"/>
      <c r="B51" s="3"/>
      <c r="C51" s="3"/>
      <c r="D51" s="3"/>
      <c r="E51" s="3">
        <v>16</v>
      </c>
      <c r="F51" s="4" t="str">
        <f>HYPERLINK("http://141.218.60.56/~jnz1568/getInfo.php?workbook=16_14.xlsx&amp;sheet=U0&amp;row=51&amp;col=6&amp;number=6&amp;sourceID=50","6")</f>
        <v>6</v>
      </c>
      <c r="G51" s="4" t="str">
        <f>HYPERLINK("http://141.218.60.56/~jnz1568/getInfo.php?workbook=16_14.xlsx&amp;sheet=U0&amp;row=51&amp;col=7&amp;number=1.44&amp;sourceID=50","1.44")</f>
        <v>1.44</v>
      </c>
      <c r="H51" s="4" t="str">
        <f>HYPERLINK("http://141.218.60.56/~jnz1568/getInfo.php?workbook=16_14.xlsx&amp;sheet=U0&amp;row=51&amp;col=8&amp;number=&amp;sourceID=51","")</f>
        <v/>
      </c>
      <c r="I51" s="4" t="str">
        <f>HYPERLINK("http://141.218.60.56/~jnz1568/getInfo.php?workbook=16_14.xlsx&amp;sheet=U0&amp;row=51&amp;col=9&amp;number=&amp;sourceID=51","")</f>
        <v/>
      </c>
      <c r="J51" s="4" t="str">
        <f>HYPERLINK("http://141.218.60.56/~jnz1568/getInfo.php?workbook=16_14.xlsx&amp;sheet=U0&amp;row=51&amp;col=10&amp;number=4.301&amp;sourceID=52","4.301")</f>
        <v>4.301</v>
      </c>
      <c r="K51" s="4" t="str">
        <f>HYPERLINK("http://141.218.60.56/~jnz1568/getInfo.php?workbook=16_14.xlsx&amp;sheet=U0&amp;row=51&amp;col=11&amp;number=5.986&amp;sourceID=52","5.986")</f>
        <v>5.986</v>
      </c>
    </row>
    <row r="52" spans="1:11">
      <c r="A52" s="3">
        <v>16</v>
      </c>
      <c r="B52" s="3">
        <v>14</v>
      </c>
      <c r="C52" s="3">
        <v>4</v>
      </c>
      <c r="D52" s="3">
        <v>1</v>
      </c>
      <c r="E52" s="3">
        <v>1</v>
      </c>
      <c r="F52" s="4" t="str">
        <f>HYPERLINK("http://141.218.60.56/~jnz1568/getInfo.php?workbook=16_14.xlsx&amp;sheet=U0&amp;row=52&amp;col=6&amp;number=3&amp;sourceID=50","3")</f>
        <v>3</v>
      </c>
      <c r="G52" s="4" t="str">
        <f>HYPERLINK("http://141.218.60.56/~jnz1568/getInfo.php?workbook=16_14.xlsx&amp;sheet=U0&amp;row=52&amp;col=7&amp;number=0.698&amp;sourceID=50","0.698")</f>
        <v>0.698</v>
      </c>
      <c r="H52" s="4" t="str">
        <f>HYPERLINK("http://141.218.60.56/~jnz1568/getInfo.php?workbook=16_14.xlsx&amp;sheet=U0&amp;row=52&amp;col=8&amp;number=3&amp;sourceID=51","3")</f>
        <v>3</v>
      </c>
      <c r="I52" s="4" t="str">
        <f>HYPERLINK("http://141.218.60.56/~jnz1568/getInfo.php?workbook=16_14.xlsx&amp;sheet=U0&amp;row=52&amp;col=9&amp;number=0.6289&amp;sourceID=51","0.6289")</f>
        <v>0.6289</v>
      </c>
      <c r="J52" s="4" t="str">
        <f>HYPERLINK("http://141.218.60.56/~jnz1568/getInfo.php?workbook=16_14.xlsx&amp;sheet=U0&amp;row=52&amp;col=10&amp;number=3.699&amp;sourceID=52","3.699")</f>
        <v>3.699</v>
      </c>
      <c r="K52" s="4" t="str">
        <f>HYPERLINK("http://141.218.60.56/~jnz1568/getInfo.php?workbook=16_14.xlsx&amp;sheet=U0&amp;row=52&amp;col=11&amp;number=0.8537&amp;sourceID=52","0.8537")</f>
        <v>0.8537</v>
      </c>
    </row>
    <row r="53" spans="1:11">
      <c r="A53" s="3"/>
      <c r="B53" s="3"/>
      <c r="C53" s="3"/>
      <c r="D53" s="3"/>
      <c r="E53" s="3">
        <v>2</v>
      </c>
      <c r="F53" s="4" t="str">
        <f>HYPERLINK("http://141.218.60.56/~jnz1568/getInfo.php?workbook=16_14.xlsx&amp;sheet=U0&amp;row=53&amp;col=6&amp;number=3.2&amp;sourceID=50","3.2")</f>
        <v>3.2</v>
      </c>
      <c r="G53" s="4" t="str">
        <f>HYPERLINK("http://141.218.60.56/~jnz1568/getInfo.php?workbook=16_14.xlsx&amp;sheet=U0&amp;row=53&amp;col=7&amp;number=0.733&amp;sourceID=50","0.733")</f>
        <v>0.733</v>
      </c>
      <c r="H53" s="4" t="str">
        <f>HYPERLINK("http://141.218.60.56/~jnz1568/getInfo.php?workbook=16_14.xlsx&amp;sheet=U0&amp;row=53&amp;col=8&amp;number=3.2&amp;sourceID=51","3.2")</f>
        <v>3.2</v>
      </c>
      <c r="I53" s="4" t="str">
        <f>HYPERLINK("http://141.218.60.56/~jnz1568/getInfo.php?workbook=16_14.xlsx&amp;sheet=U0&amp;row=53&amp;col=9&amp;number=0.7438&amp;sourceID=51","0.7438")</f>
        <v>0.7438</v>
      </c>
      <c r="J53" s="4" t="str">
        <f>HYPERLINK("http://141.218.60.56/~jnz1568/getInfo.php?workbook=16_14.xlsx&amp;sheet=U0&amp;row=53&amp;col=10&amp;number=3.778&amp;sourceID=52","3.778")</f>
        <v>3.778</v>
      </c>
      <c r="K53" s="4" t="str">
        <f>HYPERLINK("http://141.218.60.56/~jnz1568/getInfo.php?workbook=16_14.xlsx&amp;sheet=U0&amp;row=53&amp;col=11&amp;number=0.8551&amp;sourceID=52","0.8551")</f>
        <v>0.8551</v>
      </c>
    </row>
    <row r="54" spans="1:11">
      <c r="A54" s="3"/>
      <c r="B54" s="3"/>
      <c r="C54" s="3"/>
      <c r="D54" s="3"/>
      <c r="E54" s="3">
        <v>3</v>
      </c>
      <c r="F54" s="4" t="str">
        <f>HYPERLINK("http://141.218.60.56/~jnz1568/getInfo.php?workbook=16_14.xlsx&amp;sheet=U0&amp;row=54&amp;col=6&amp;number=3.4&amp;sourceID=50","3.4")</f>
        <v>3.4</v>
      </c>
      <c r="G54" s="4" t="str">
        <f>HYPERLINK("http://141.218.60.56/~jnz1568/getInfo.php?workbook=16_14.xlsx&amp;sheet=U0&amp;row=54&amp;col=7&amp;number=0.738&amp;sourceID=50","0.738")</f>
        <v>0.738</v>
      </c>
      <c r="H54" s="4" t="str">
        <f>HYPERLINK("http://141.218.60.56/~jnz1568/getInfo.php?workbook=16_14.xlsx&amp;sheet=U0&amp;row=54&amp;col=8&amp;number=3.4&amp;sourceID=51","3.4")</f>
        <v>3.4</v>
      </c>
      <c r="I54" s="4" t="str">
        <f>HYPERLINK("http://141.218.60.56/~jnz1568/getInfo.php?workbook=16_14.xlsx&amp;sheet=U0&amp;row=54&amp;col=9&amp;number=0.8373&amp;sourceID=51","0.8373")</f>
        <v>0.8373</v>
      </c>
      <c r="J54" s="4" t="str">
        <f>HYPERLINK("http://141.218.60.56/~jnz1568/getInfo.php?workbook=16_14.xlsx&amp;sheet=U0&amp;row=54&amp;col=10&amp;number=3.845&amp;sourceID=52","3.845")</f>
        <v>3.845</v>
      </c>
      <c r="K54" s="4" t="str">
        <f>HYPERLINK("http://141.218.60.56/~jnz1568/getInfo.php?workbook=16_14.xlsx&amp;sheet=U0&amp;row=54&amp;col=11&amp;number=0.8571&amp;sourceID=52","0.8571")</f>
        <v>0.8571</v>
      </c>
    </row>
    <row r="55" spans="1:11">
      <c r="A55" s="3"/>
      <c r="B55" s="3"/>
      <c r="C55" s="3"/>
      <c r="D55" s="3"/>
      <c r="E55" s="3">
        <v>4</v>
      </c>
      <c r="F55" s="4" t="str">
        <f>HYPERLINK("http://141.218.60.56/~jnz1568/getInfo.php?workbook=16_14.xlsx&amp;sheet=U0&amp;row=55&amp;col=6&amp;number=3.6&amp;sourceID=50","3.6")</f>
        <v>3.6</v>
      </c>
      <c r="G55" s="4" t="str">
        <f>HYPERLINK("http://141.218.60.56/~jnz1568/getInfo.php?workbook=16_14.xlsx&amp;sheet=U0&amp;row=55&amp;col=7&amp;number=0.72&amp;sourceID=50","0.72")</f>
        <v>0.72</v>
      </c>
      <c r="H55" s="4" t="str">
        <f>HYPERLINK("http://141.218.60.56/~jnz1568/getInfo.php?workbook=16_14.xlsx&amp;sheet=U0&amp;row=55&amp;col=8&amp;number=3.6&amp;sourceID=51","3.6")</f>
        <v>3.6</v>
      </c>
      <c r="I55" s="4" t="str">
        <f>HYPERLINK("http://141.218.60.56/~jnz1568/getInfo.php?workbook=16_14.xlsx&amp;sheet=U0&amp;row=55&amp;col=9&amp;number=0.8822&amp;sourceID=51","0.8822")</f>
        <v>0.8822</v>
      </c>
      <c r="J55" s="4" t="str">
        <f>HYPERLINK("http://141.218.60.56/~jnz1568/getInfo.php?workbook=16_14.xlsx&amp;sheet=U0&amp;row=55&amp;col=10&amp;number=3.903&amp;sourceID=52","3.903")</f>
        <v>3.903</v>
      </c>
      <c r="K55" s="4" t="str">
        <f>HYPERLINK("http://141.218.60.56/~jnz1568/getInfo.php?workbook=16_14.xlsx&amp;sheet=U0&amp;row=55&amp;col=11&amp;number=0.8601&amp;sourceID=52","0.8601")</f>
        <v>0.8601</v>
      </c>
    </row>
    <row r="56" spans="1:11">
      <c r="A56" s="3"/>
      <c r="B56" s="3"/>
      <c r="C56" s="3"/>
      <c r="D56" s="3"/>
      <c r="E56" s="3">
        <v>5</v>
      </c>
      <c r="F56" s="4" t="str">
        <f>HYPERLINK("http://141.218.60.56/~jnz1568/getInfo.php?workbook=16_14.xlsx&amp;sheet=U0&amp;row=56&amp;col=6&amp;number=3.8&amp;sourceID=50","3.8")</f>
        <v>3.8</v>
      </c>
      <c r="G56" s="4" t="str">
        <f>HYPERLINK("http://141.218.60.56/~jnz1568/getInfo.php?workbook=16_14.xlsx&amp;sheet=U0&amp;row=56&amp;col=7&amp;number=0.71&amp;sourceID=50","0.71")</f>
        <v>0.71</v>
      </c>
      <c r="H56" s="4" t="str">
        <f>HYPERLINK("http://141.218.60.56/~jnz1568/getInfo.php?workbook=16_14.xlsx&amp;sheet=U0&amp;row=56&amp;col=8&amp;number=3.8&amp;sourceID=51","3.8")</f>
        <v>3.8</v>
      </c>
      <c r="I56" s="4" t="str">
        <f>HYPERLINK("http://141.218.60.56/~jnz1568/getInfo.php?workbook=16_14.xlsx&amp;sheet=U0&amp;row=56&amp;col=9&amp;number=0.8845&amp;sourceID=51","0.8845")</f>
        <v>0.8845</v>
      </c>
      <c r="J56" s="4" t="str">
        <f>HYPERLINK("http://141.218.60.56/~jnz1568/getInfo.php?workbook=16_14.xlsx&amp;sheet=U0&amp;row=56&amp;col=10&amp;number=3.954&amp;sourceID=52","3.954")</f>
        <v>3.954</v>
      </c>
      <c r="K56" s="4" t="str">
        <f>HYPERLINK("http://141.218.60.56/~jnz1568/getInfo.php?workbook=16_14.xlsx&amp;sheet=U0&amp;row=56&amp;col=11&amp;number=0.8638&amp;sourceID=52","0.8638")</f>
        <v>0.8638</v>
      </c>
    </row>
    <row r="57" spans="1:11">
      <c r="A57" s="3"/>
      <c r="B57" s="3"/>
      <c r="C57" s="3"/>
      <c r="D57" s="3"/>
      <c r="E57" s="3">
        <v>6</v>
      </c>
      <c r="F57" s="4" t="str">
        <f>HYPERLINK("http://141.218.60.56/~jnz1568/getInfo.php?workbook=16_14.xlsx&amp;sheet=U0&amp;row=57&amp;col=6&amp;number=4&amp;sourceID=50","4")</f>
        <v>4</v>
      </c>
      <c r="G57" s="4" t="str">
        <f>HYPERLINK("http://141.218.60.56/~jnz1568/getInfo.php?workbook=16_14.xlsx&amp;sheet=U0&amp;row=57&amp;col=7&amp;number=0.729&amp;sourceID=50","0.729")</f>
        <v>0.729</v>
      </c>
      <c r="H57" s="4" t="str">
        <f>HYPERLINK("http://141.218.60.56/~jnz1568/getInfo.php?workbook=16_14.xlsx&amp;sheet=U0&amp;row=57&amp;col=8&amp;number=4&amp;sourceID=51","4")</f>
        <v>4</v>
      </c>
      <c r="I57" s="4" t="str">
        <f>HYPERLINK("http://141.218.60.56/~jnz1568/getInfo.php?workbook=16_14.xlsx&amp;sheet=U0&amp;row=57&amp;col=9&amp;number=0.879&amp;sourceID=51","0.879")</f>
        <v>0.879</v>
      </c>
      <c r="J57" s="4" t="str">
        <f>HYPERLINK("http://141.218.60.56/~jnz1568/getInfo.php?workbook=16_14.xlsx&amp;sheet=U0&amp;row=57&amp;col=10&amp;number=4&amp;sourceID=52","4")</f>
        <v>4</v>
      </c>
      <c r="K57" s="4" t="str">
        <f>HYPERLINK("http://141.218.60.56/~jnz1568/getInfo.php?workbook=16_14.xlsx&amp;sheet=U0&amp;row=57&amp;col=11&amp;number=0.8681&amp;sourceID=52","0.8681")</f>
        <v>0.8681</v>
      </c>
    </row>
    <row r="58" spans="1:11">
      <c r="A58" s="3"/>
      <c r="B58" s="3"/>
      <c r="C58" s="3"/>
      <c r="D58" s="3"/>
      <c r="E58" s="3">
        <v>7</v>
      </c>
      <c r="F58" s="4" t="str">
        <f>HYPERLINK("http://141.218.60.56/~jnz1568/getInfo.php?workbook=16_14.xlsx&amp;sheet=U0&amp;row=58&amp;col=6&amp;number=4.2&amp;sourceID=50","4.2")</f>
        <v>4.2</v>
      </c>
      <c r="G58" s="4" t="str">
        <f>HYPERLINK("http://141.218.60.56/~jnz1568/getInfo.php?workbook=16_14.xlsx&amp;sheet=U0&amp;row=58&amp;col=7&amp;number=0.765&amp;sourceID=50","0.765")</f>
        <v>0.765</v>
      </c>
      <c r="H58" s="4" t="str">
        <f>HYPERLINK("http://141.218.60.56/~jnz1568/getInfo.php?workbook=16_14.xlsx&amp;sheet=U0&amp;row=58&amp;col=8&amp;number=4.2&amp;sourceID=51","4.2")</f>
        <v>4.2</v>
      </c>
      <c r="I58" s="4" t="str">
        <f>HYPERLINK("http://141.218.60.56/~jnz1568/getInfo.php?workbook=16_14.xlsx&amp;sheet=U0&amp;row=58&amp;col=9&amp;number=0.8849&amp;sourceID=51","0.8849")</f>
        <v>0.8849</v>
      </c>
      <c r="J58" s="4" t="str">
        <f>HYPERLINK("http://141.218.60.56/~jnz1568/getInfo.php?workbook=16_14.xlsx&amp;sheet=U0&amp;row=58&amp;col=10&amp;number=4.041&amp;sourceID=52","4.041")</f>
        <v>4.041</v>
      </c>
      <c r="K58" s="4" t="str">
        <f>HYPERLINK("http://141.218.60.56/~jnz1568/getInfo.php?workbook=16_14.xlsx&amp;sheet=U0&amp;row=58&amp;col=11&amp;number=0.8725&amp;sourceID=52","0.8725")</f>
        <v>0.8725</v>
      </c>
    </row>
    <row r="59" spans="1:11">
      <c r="A59" s="3"/>
      <c r="B59" s="3"/>
      <c r="C59" s="3"/>
      <c r="D59" s="3"/>
      <c r="E59" s="3">
        <v>8</v>
      </c>
      <c r="F59" s="4" t="str">
        <f>HYPERLINK("http://141.218.60.56/~jnz1568/getInfo.php?workbook=16_14.xlsx&amp;sheet=U0&amp;row=59&amp;col=6&amp;number=4.4&amp;sourceID=50","4.4")</f>
        <v>4.4</v>
      </c>
      <c r="G59" s="4" t="str">
        <f>HYPERLINK("http://141.218.60.56/~jnz1568/getInfo.php?workbook=16_14.xlsx&amp;sheet=U0&amp;row=59&amp;col=7&amp;number=0.791&amp;sourceID=50","0.791")</f>
        <v>0.791</v>
      </c>
      <c r="H59" s="4" t="str">
        <f>HYPERLINK("http://141.218.60.56/~jnz1568/getInfo.php?workbook=16_14.xlsx&amp;sheet=U0&amp;row=59&amp;col=8&amp;number=4.4&amp;sourceID=51","4.4")</f>
        <v>4.4</v>
      </c>
      <c r="I59" s="4" t="str">
        <f>HYPERLINK("http://141.218.60.56/~jnz1568/getInfo.php?workbook=16_14.xlsx&amp;sheet=U0&amp;row=59&amp;col=9&amp;number=0.8878&amp;sourceID=51","0.8878")</f>
        <v>0.8878</v>
      </c>
      <c r="J59" s="4" t="str">
        <f>HYPERLINK("http://141.218.60.56/~jnz1568/getInfo.php?workbook=16_14.xlsx&amp;sheet=U0&amp;row=59&amp;col=10&amp;number=4.079&amp;sourceID=52","4.079")</f>
        <v>4.079</v>
      </c>
      <c r="K59" s="4" t="str">
        <f>HYPERLINK("http://141.218.60.56/~jnz1568/getInfo.php?workbook=16_14.xlsx&amp;sheet=U0&amp;row=59&amp;col=11&amp;number=0.8769&amp;sourceID=52","0.8769")</f>
        <v>0.8769</v>
      </c>
    </row>
    <row r="60" spans="1:11">
      <c r="A60" s="3"/>
      <c r="B60" s="3"/>
      <c r="C60" s="3"/>
      <c r="D60" s="3"/>
      <c r="E60" s="3">
        <v>9</v>
      </c>
      <c r="F60" s="4" t="str">
        <f>HYPERLINK("http://141.218.60.56/~jnz1568/getInfo.php?workbook=16_14.xlsx&amp;sheet=U0&amp;row=60&amp;col=6&amp;number=4.6&amp;sourceID=50","4.6")</f>
        <v>4.6</v>
      </c>
      <c r="G60" s="4" t="str">
        <f>HYPERLINK("http://141.218.60.56/~jnz1568/getInfo.php?workbook=16_14.xlsx&amp;sheet=U0&amp;row=60&amp;col=7&amp;number=0.786&amp;sourceID=50","0.786")</f>
        <v>0.786</v>
      </c>
      <c r="H60" s="4" t="str">
        <f>HYPERLINK("http://141.218.60.56/~jnz1568/getInfo.php?workbook=16_14.xlsx&amp;sheet=U0&amp;row=60&amp;col=8&amp;number=4.6&amp;sourceID=51","4.6")</f>
        <v>4.6</v>
      </c>
      <c r="I60" s="4" t="str">
        <f>HYPERLINK("http://141.218.60.56/~jnz1568/getInfo.php?workbook=16_14.xlsx&amp;sheet=U0&amp;row=60&amp;col=9&amp;number=0.8686&amp;sourceID=51","0.8686")</f>
        <v>0.8686</v>
      </c>
      <c r="J60" s="4" t="str">
        <f>HYPERLINK("http://141.218.60.56/~jnz1568/getInfo.php?workbook=16_14.xlsx&amp;sheet=U0&amp;row=60&amp;col=10&amp;number=4.114&amp;sourceID=52","4.114")</f>
        <v>4.114</v>
      </c>
      <c r="K60" s="4" t="str">
        <f>HYPERLINK("http://141.218.60.56/~jnz1568/getInfo.php?workbook=16_14.xlsx&amp;sheet=U0&amp;row=60&amp;col=11&amp;number=0.8811&amp;sourceID=52","0.8811")</f>
        <v>0.8811</v>
      </c>
    </row>
    <row r="61" spans="1:11">
      <c r="A61" s="3"/>
      <c r="B61" s="3"/>
      <c r="C61" s="3"/>
      <c r="D61" s="3"/>
      <c r="E61" s="3">
        <v>10</v>
      </c>
      <c r="F61" s="4" t="str">
        <f>HYPERLINK("http://141.218.60.56/~jnz1568/getInfo.php?workbook=16_14.xlsx&amp;sheet=U0&amp;row=61&amp;col=6&amp;number=4.8&amp;sourceID=50","4.8")</f>
        <v>4.8</v>
      </c>
      <c r="G61" s="4" t="str">
        <f>HYPERLINK("http://141.218.60.56/~jnz1568/getInfo.php?workbook=16_14.xlsx&amp;sheet=U0&amp;row=61&amp;col=7&amp;number=0.744&amp;sourceID=50","0.744")</f>
        <v>0.744</v>
      </c>
      <c r="H61" s="4" t="str">
        <f>HYPERLINK("http://141.218.60.56/~jnz1568/getInfo.php?workbook=16_14.xlsx&amp;sheet=U0&amp;row=61&amp;col=8&amp;number=4.8&amp;sourceID=51","4.8")</f>
        <v>4.8</v>
      </c>
      <c r="I61" s="4" t="str">
        <f>HYPERLINK("http://141.218.60.56/~jnz1568/getInfo.php?workbook=16_14.xlsx&amp;sheet=U0&amp;row=61&amp;col=9&amp;number=0.8139&amp;sourceID=51","0.8139")</f>
        <v>0.8139</v>
      </c>
      <c r="J61" s="4" t="str">
        <f>HYPERLINK("http://141.218.60.56/~jnz1568/getInfo.php?workbook=16_14.xlsx&amp;sheet=U0&amp;row=61&amp;col=10&amp;number=4.146&amp;sourceID=52","4.146")</f>
        <v>4.146</v>
      </c>
      <c r="K61" s="4" t="str">
        <f>HYPERLINK("http://141.218.60.56/~jnz1568/getInfo.php?workbook=16_14.xlsx&amp;sheet=U0&amp;row=61&amp;col=11&amp;number=0.885&amp;sourceID=52","0.885")</f>
        <v>0.885</v>
      </c>
    </row>
    <row r="62" spans="1:11">
      <c r="A62" s="3"/>
      <c r="B62" s="3"/>
      <c r="C62" s="3"/>
      <c r="D62" s="3"/>
      <c r="E62" s="3">
        <v>11</v>
      </c>
      <c r="F62" s="4" t="str">
        <f>HYPERLINK("http://141.218.60.56/~jnz1568/getInfo.php?workbook=16_14.xlsx&amp;sheet=U0&amp;row=62&amp;col=6&amp;number=5&amp;sourceID=50","5")</f>
        <v>5</v>
      </c>
      <c r="G62" s="4" t="str">
        <f>HYPERLINK("http://141.218.60.56/~jnz1568/getInfo.php?workbook=16_14.xlsx&amp;sheet=U0&amp;row=62&amp;col=7&amp;number=0.66&amp;sourceID=50","0.66")</f>
        <v>0.66</v>
      </c>
      <c r="H62" s="4" t="str">
        <f>HYPERLINK("http://141.218.60.56/~jnz1568/getInfo.php?workbook=16_14.xlsx&amp;sheet=U0&amp;row=62&amp;col=8&amp;number=5&amp;sourceID=51","5")</f>
        <v>5</v>
      </c>
      <c r="I62" s="4" t="str">
        <f>HYPERLINK("http://141.218.60.56/~jnz1568/getInfo.php?workbook=16_14.xlsx&amp;sheet=U0&amp;row=62&amp;col=9&amp;number=0.7192&amp;sourceID=51","0.7192")</f>
        <v>0.7192</v>
      </c>
      <c r="J62" s="4" t="str">
        <f>HYPERLINK("http://141.218.60.56/~jnz1568/getInfo.php?workbook=16_14.xlsx&amp;sheet=U0&amp;row=62&amp;col=10&amp;number=4.176&amp;sourceID=52","4.176")</f>
        <v>4.176</v>
      </c>
      <c r="K62" s="4" t="str">
        <f>HYPERLINK("http://141.218.60.56/~jnz1568/getInfo.php?workbook=16_14.xlsx&amp;sheet=U0&amp;row=62&amp;col=11&amp;number=0.8885&amp;sourceID=52","0.8885")</f>
        <v>0.8885</v>
      </c>
    </row>
    <row r="63" spans="1:11">
      <c r="A63" s="3"/>
      <c r="B63" s="3"/>
      <c r="C63" s="3"/>
      <c r="D63" s="3"/>
      <c r="E63" s="3">
        <v>12</v>
      </c>
      <c r="F63" s="4" t="str">
        <f>HYPERLINK("http://141.218.60.56/~jnz1568/getInfo.php?workbook=16_14.xlsx&amp;sheet=U0&amp;row=63&amp;col=6&amp;number=5.2&amp;sourceID=50","5.2")</f>
        <v>5.2</v>
      </c>
      <c r="G63" s="4" t="str">
        <f>HYPERLINK("http://141.218.60.56/~jnz1568/getInfo.php?workbook=16_14.xlsx&amp;sheet=U0&amp;row=63&amp;col=7&amp;number=0.548&amp;sourceID=50","0.548")</f>
        <v>0.548</v>
      </c>
      <c r="H63" s="4" t="str">
        <f>HYPERLINK("http://141.218.60.56/~jnz1568/getInfo.php?workbook=16_14.xlsx&amp;sheet=U0&amp;row=63&amp;col=8&amp;number=&amp;sourceID=51","")</f>
        <v/>
      </c>
      <c r="I63" s="4" t="str">
        <f>HYPERLINK("http://141.218.60.56/~jnz1568/getInfo.php?workbook=16_14.xlsx&amp;sheet=U0&amp;row=63&amp;col=9&amp;number=&amp;sourceID=51","")</f>
        <v/>
      </c>
      <c r="J63" s="4" t="str">
        <f>HYPERLINK("http://141.218.60.56/~jnz1568/getInfo.php?workbook=16_14.xlsx&amp;sheet=U0&amp;row=63&amp;col=10&amp;number=4.204&amp;sourceID=52","4.204")</f>
        <v>4.204</v>
      </c>
      <c r="K63" s="4" t="str">
        <f>HYPERLINK("http://141.218.60.56/~jnz1568/getInfo.php?workbook=16_14.xlsx&amp;sheet=U0&amp;row=63&amp;col=11&amp;number=0.8916&amp;sourceID=52","0.8916")</f>
        <v>0.8916</v>
      </c>
    </row>
    <row r="64" spans="1:11">
      <c r="A64" s="3"/>
      <c r="B64" s="3"/>
      <c r="C64" s="3"/>
      <c r="D64" s="3"/>
      <c r="E64" s="3">
        <v>13</v>
      </c>
      <c r="F64" s="4" t="str">
        <f>HYPERLINK("http://141.218.60.56/~jnz1568/getInfo.php?workbook=16_14.xlsx&amp;sheet=U0&amp;row=64&amp;col=6&amp;number=5.4&amp;sourceID=50","5.4")</f>
        <v>5.4</v>
      </c>
      <c r="G64" s="4" t="str">
        <f>HYPERLINK("http://141.218.60.56/~jnz1568/getInfo.php?workbook=16_14.xlsx&amp;sheet=U0&amp;row=64&amp;col=7&amp;number=0.43&amp;sourceID=50","0.43")</f>
        <v>0.43</v>
      </c>
      <c r="H64" s="4" t="str">
        <f>HYPERLINK("http://141.218.60.56/~jnz1568/getInfo.php?workbook=16_14.xlsx&amp;sheet=U0&amp;row=64&amp;col=8&amp;number=&amp;sourceID=51","")</f>
        <v/>
      </c>
      <c r="I64" s="4" t="str">
        <f>HYPERLINK("http://141.218.60.56/~jnz1568/getInfo.php?workbook=16_14.xlsx&amp;sheet=U0&amp;row=64&amp;col=9&amp;number=&amp;sourceID=51","")</f>
        <v/>
      </c>
      <c r="J64" s="4" t="str">
        <f>HYPERLINK("http://141.218.60.56/~jnz1568/getInfo.php?workbook=16_14.xlsx&amp;sheet=U0&amp;row=64&amp;col=10&amp;number=4.23&amp;sourceID=52","4.23")</f>
        <v>4.23</v>
      </c>
      <c r="K64" s="4" t="str">
        <f>HYPERLINK("http://141.218.60.56/~jnz1568/getInfo.php?workbook=16_14.xlsx&amp;sheet=U0&amp;row=64&amp;col=11&amp;number=0.8943&amp;sourceID=52","0.8943")</f>
        <v>0.8943</v>
      </c>
    </row>
    <row r="65" spans="1:11">
      <c r="A65" s="3"/>
      <c r="B65" s="3"/>
      <c r="C65" s="3"/>
      <c r="D65" s="3"/>
      <c r="E65" s="3">
        <v>14</v>
      </c>
      <c r="F65" s="4" t="str">
        <f>HYPERLINK("http://141.218.60.56/~jnz1568/getInfo.php?workbook=16_14.xlsx&amp;sheet=U0&amp;row=65&amp;col=6&amp;number=5.6&amp;sourceID=50","5.6")</f>
        <v>5.6</v>
      </c>
      <c r="G65" s="4" t="str">
        <f>HYPERLINK("http://141.218.60.56/~jnz1568/getInfo.php?workbook=16_14.xlsx&amp;sheet=U0&amp;row=65&amp;col=7&amp;number=0.323&amp;sourceID=50","0.323")</f>
        <v>0.323</v>
      </c>
      <c r="H65" s="4" t="str">
        <f>HYPERLINK("http://141.218.60.56/~jnz1568/getInfo.php?workbook=16_14.xlsx&amp;sheet=U0&amp;row=65&amp;col=8&amp;number=&amp;sourceID=51","")</f>
        <v/>
      </c>
      <c r="I65" s="4" t="str">
        <f>HYPERLINK("http://141.218.60.56/~jnz1568/getInfo.php?workbook=16_14.xlsx&amp;sheet=U0&amp;row=65&amp;col=9&amp;number=&amp;sourceID=51","")</f>
        <v/>
      </c>
      <c r="J65" s="4" t="str">
        <f>HYPERLINK("http://141.218.60.56/~jnz1568/getInfo.php?workbook=16_14.xlsx&amp;sheet=U0&amp;row=65&amp;col=10&amp;number=4.255&amp;sourceID=52","4.255")</f>
        <v>4.255</v>
      </c>
      <c r="K65" s="4" t="str">
        <f>HYPERLINK("http://141.218.60.56/~jnz1568/getInfo.php?workbook=16_14.xlsx&amp;sheet=U0&amp;row=65&amp;col=11&amp;number=0.8966&amp;sourceID=52","0.8966")</f>
        <v>0.8966</v>
      </c>
    </row>
    <row r="66" spans="1:11">
      <c r="A66" s="3"/>
      <c r="B66" s="3"/>
      <c r="C66" s="3"/>
      <c r="D66" s="3"/>
      <c r="E66" s="3">
        <v>15</v>
      </c>
      <c r="F66" s="4" t="str">
        <f>HYPERLINK("http://141.218.60.56/~jnz1568/getInfo.php?workbook=16_14.xlsx&amp;sheet=U0&amp;row=66&amp;col=6&amp;number=5.8&amp;sourceID=50","5.8")</f>
        <v>5.8</v>
      </c>
      <c r="G66" s="4" t="str">
        <f>HYPERLINK("http://141.218.60.56/~jnz1568/getInfo.php?workbook=16_14.xlsx&amp;sheet=U0&amp;row=66&amp;col=7&amp;number=0.234&amp;sourceID=50","0.234")</f>
        <v>0.234</v>
      </c>
      <c r="H66" s="4" t="str">
        <f>HYPERLINK("http://141.218.60.56/~jnz1568/getInfo.php?workbook=16_14.xlsx&amp;sheet=U0&amp;row=66&amp;col=8&amp;number=&amp;sourceID=51","")</f>
        <v/>
      </c>
      <c r="I66" s="4" t="str">
        <f>HYPERLINK("http://141.218.60.56/~jnz1568/getInfo.php?workbook=16_14.xlsx&amp;sheet=U0&amp;row=66&amp;col=9&amp;number=&amp;sourceID=51","")</f>
        <v/>
      </c>
      <c r="J66" s="4" t="str">
        <f>HYPERLINK("http://141.218.60.56/~jnz1568/getInfo.php?workbook=16_14.xlsx&amp;sheet=U0&amp;row=66&amp;col=10&amp;number=4.279&amp;sourceID=52","4.279")</f>
        <v>4.279</v>
      </c>
      <c r="K66" s="4" t="str">
        <f>HYPERLINK("http://141.218.60.56/~jnz1568/getInfo.php?workbook=16_14.xlsx&amp;sheet=U0&amp;row=66&amp;col=11&amp;number=0.8985&amp;sourceID=52","0.8985")</f>
        <v>0.8985</v>
      </c>
    </row>
    <row r="67" spans="1:11">
      <c r="A67" s="3"/>
      <c r="B67" s="3"/>
      <c r="C67" s="3"/>
      <c r="D67" s="3"/>
      <c r="E67" s="3">
        <v>16</v>
      </c>
      <c r="F67" s="4" t="str">
        <f>HYPERLINK("http://141.218.60.56/~jnz1568/getInfo.php?workbook=16_14.xlsx&amp;sheet=U0&amp;row=67&amp;col=6&amp;number=6&amp;sourceID=50","6")</f>
        <v>6</v>
      </c>
      <c r="G67" s="4" t="str">
        <f>HYPERLINK("http://141.218.60.56/~jnz1568/getInfo.php?workbook=16_14.xlsx&amp;sheet=U0&amp;row=67&amp;col=7&amp;number=0.164&amp;sourceID=50","0.164")</f>
        <v>0.164</v>
      </c>
      <c r="H67" s="4" t="str">
        <f>HYPERLINK("http://141.218.60.56/~jnz1568/getInfo.php?workbook=16_14.xlsx&amp;sheet=U0&amp;row=67&amp;col=8&amp;number=&amp;sourceID=51","")</f>
        <v/>
      </c>
      <c r="I67" s="4" t="str">
        <f>HYPERLINK("http://141.218.60.56/~jnz1568/getInfo.php?workbook=16_14.xlsx&amp;sheet=U0&amp;row=67&amp;col=9&amp;number=&amp;sourceID=51","")</f>
        <v/>
      </c>
      <c r="J67" s="4" t="str">
        <f>HYPERLINK("http://141.218.60.56/~jnz1568/getInfo.php?workbook=16_14.xlsx&amp;sheet=U0&amp;row=67&amp;col=10&amp;number=4.301&amp;sourceID=52","4.301")</f>
        <v>4.301</v>
      </c>
      <c r="K67" s="4" t="str">
        <f>HYPERLINK("http://141.218.60.56/~jnz1568/getInfo.php?workbook=16_14.xlsx&amp;sheet=U0&amp;row=67&amp;col=11&amp;number=0.9&amp;sourceID=52","0.9")</f>
        <v>0.9</v>
      </c>
    </row>
    <row r="68" spans="1:11">
      <c r="A68" s="3">
        <v>16</v>
      </c>
      <c r="B68" s="3">
        <v>14</v>
      </c>
      <c r="C68" s="3">
        <v>4</v>
      </c>
      <c r="D68" s="3">
        <v>2</v>
      </c>
      <c r="E68" s="3">
        <v>1</v>
      </c>
      <c r="F68" s="4" t="str">
        <f>HYPERLINK("http://141.218.60.56/~jnz1568/getInfo.php?workbook=16_14.xlsx&amp;sheet=U0&amp;row=68&amp;col=6&amp;number=3&amp;sourceID=50","3")</f>
        <v>3</v>
      </c>
      <c r="G68" s="4" t="str">
        <f>HYPERLINK("http://141.218.60.56/~jnz1568/getInfo.php?workbook=16_14.xlsx&amp;sheet=U0&amp;row=68&amp;col=7&amp;number=2.09&amp;sourceID=50","2.09")</f>
        <v>2.09</v>
      </c>
      <c r="H68" s="4" t="str">
        <f>HYPERLINK("http://141.218.60.56/~jnz1568/getInfo.php?workbook=16_14.xlsx&amp;sheet=U0&amp;row=68&amp;col=8&amp;number=3&amp;sourceID=51","3")</f>
        <v>3</v>
      </c>
      <c r="I68" s="4" t="str">
        <f>HYPERLINK("http://141.218.60.56/~jnz1568/getInfo.php?workbook=16_14.xlsx&amp;sheet=U0&amp;row=68&amp;col=9&amp;number=1.887&amp;sourceID=51","1.887")</f>
        <v>1.887</v>
      </c>
      <c r="J68" s="4" t="str">
        <f>HYPERLINK("http://141.218.60.56/~jnz1568/getInfo.php?workbook=16_14.xlsx&amp;sheet=U0&amp;row=68&amp;col=10&amp;number=3.699&amp;sourceID=52","3.699")</f>
        <v>3.699</v>
      </c>
      <c r="K68" s="4" t="str">
        <f>HYPERLINK("http://141.218.60.56/~jnz1568/getInfo.php?workbook=16_14.xlsx&amp;sheet=U0&amp;row=68&amp;col=11&amp;number=2.561&amp;sourceID=52","2.561")</f>
        <v>2.561</v>
      </c>
    </row>
    <row r="69" spans="1:11">
      <c r="A69" s="3"/>
      <c r="B69" s="3"/>
      <c r="C69" s="3"/>
      <c r="D69" s="3"/>
      <c r="E69" s="3">
        <v>2</v>
      </c>
      <c r="F69" s="4" t="str">
        <f>HYPERLINK("http://141.218.60.56/~jnz1568/getInfo.php?workbook=16_14.xlsx&amp;sheet=U0&amp;row=69&amp;col=6&amp;number=3.2&amp;sourceID=50","3.2")</f>
        <v>3.2</v>
      </c>
      <c r="G69" s="4" t="str">
        <f>HYPERLINK("http://141.218.60.56/~jnz1568/getInfo.php?workbook=16_14.xlsx&amp;sheet=U0&amp;row=69&amp;col=7&amp;number=2.19&amp;sourceID=50","2.19")</f>
        <v>2.19</v>
      </c>
      <c r="H69" s="4" t="str">
        <f>HYPERLINK("http://141.218.60.56/~jnz1568/getInfo.php?workbook=16_14.xlsx&amp;sheet=U0&amp;row=69&amp;col=8&amp;number=3.2&amp;sourceID=51","3.2")</f>
        <v>3.2</v>
      </c>
      <c r="I69" s="4" t="str">
        <f>HYPERLINK("http://141.218.60.56/~jnz1568/getInfo.php?workbook=16_14.xlsx&amp;sheet=U0&amp;row=69&amp;col=9&amp;number=2.231&amp;sourceID=51","2.231")</f>
        <v>2.231</v>
      </c>
      <c r="J69" s="4" t="str">
        <f>HYPERLINK("http://141.218.60.56/~jnz1568/getInfo.php?workbook=16_14.xlsx&amp;sheet=U0&amp;row=69&amp;col=10&amp;number=3.778&amp;sourceID=52","3.778")</f>
        <v>3.778</v>
      </c>
      <c r="K69" s="4" t="str">
        <f>HYPERLINK("http://141.218.60.56/~jnz1568/getInfo.php?workbook=16_14.xlsx&amp;sheet=U0&amp;row=69&amp;col=11&amp;number=2.565&amp;sourceID=52","2.565")</f>
        <v>2.565</v>
      </c>
    </row>
    <row r="70" spans="1:11">
      <c r="A70" s="3"/>
      <c r="B70" s="3"/>
      <c r="C70" s="3"/>
      <c r="D70" s="3"/>
      <c r="E70" s="3">
        <v>3</v>
      </c>
      <c r="F70" s="4" t="str">
        <f>HYPERLINK("http://141.218.60.56/~jnz1568/getInfo.php?workbook=16_14.xlsx&amp;sheet=U0&amp;row=70&amp;col=6&amp;number=3.4&amp;sourceID=50","3.4")</f>
        <v>3.4</v>
      </c>
      <c r="G70" s="4" t="str">
        <f>HYPERLINK("http://141.218.60.56/~jnz1568/getInfo.php?workbook=16_14.xlsx&amp;sheet=U0&amp;row=70&amp;col=7&amp;number=2.19&amp;sourceID=50","2.19")</f>
        <v>2.19</v>
      </c>
      <c r="H70" s="4" t="str">
        <f>HYPERLINK("http://141.218.60.56/~jnz1568/getInfo.php?workbook=16_14.xlsx&amp;sheet=U0&amp;row=70&amp;col=8&amp;number=3.4&amp;sourceID=51","3.4")</f>
        <v>3.4</v>
      </c>
      <c r="I70" s="4" t="str">
        <f>HYPERLINK("http://141.218.60.56/~jnz1568/getInfo.php?workbook=16_14.xlsx&amp;sheet=U0&amp;row=70&amp;col=9&amp;number=2.512&amp;sourceID=51","2.512")</f>
        <v>2.512</v>
      </c>
      <c r="J70" s="4" t="str">
        <f>HYPERLINK("http://141.218.60.56/~jnz1568/getInfo.php?workbook=16_14.xlsx&amp;sheet=U0&amp;row=70&amp;col=10&amp;number=3.845&amp;sourceID=52","3.845")</f>
        <v>3.845</v>
      </c>
      <c r="K70" s="4" t="str">
        <f>HYPERLINK("http://141.218.60.56/~jnz1568/getInfo.php?workbook=16_14.xlsx&amp;sheet=U0&amp;row=70&amp;col=11&amp;number=2.571&amp;sourceID=52","2.571")</f>
        <v>2.571</v>
      </c>
    </row>
    <row r="71" spans="1:11">
      <c r="A71" s="3"/>
      <c r="B71" s="3"/>
      <c r="C71" s="3"/>
      <c r="D71" s="3"/>
      <c r="E71" s="3">
        <v>4</v>
      </c>
      <c r="F71" s="4" t="str">
        <f>HYPERLINK("http://141.218.60.56/~jnz1568/getInfo.php?workbook=16_14.xlsx&amp;sheet=U0&amp;row=71&amp;col=6&amp;number=3.6&amp;sourceID=50","3.6")</f>
        <v>3.6</v>
      </c>
      <c r="G71" s="4" t="str">
        <f>HYPERLINK("http://141.218.60.56/~jnz1568/getInfo.php?workbook=16_14.xlsx&amp;sheet=U0&amp;row=71&amp;col=7&amp;number=2.14&amp;sourceID=50","2.14")</f>
        <v>2.14</v>
      </c>
      <c r="H71" s="4" t="str">
        <f>HYPERLINK("http://141.218.60.56/~jnz1568/getInfo.php?workbook=16_14.xlsx&amp;sheet=U0&amp;row=71&amp;col=8&amp;number=3.6&amp;sourceID=51","3.6")</f>
        <v>3.6</v>
      </c>
      <c r="I71" s="4" t="str">
        <f>HYPERLINK("http://141.218.60.56/~jnz1568/getInfo.php?workbook=16_14.xlsx&amp;sheet=U0&amp;row=71&amp;col=9&amp;number=2.646&amp;sourceID=51","2.646")</f>
        <v>2.646</v>
      </c>
      <c r="J71" s="4" t="str">
        <f>HYPERLINK("http://141.218.60.56/~jnz1568/getInfo.php?workbook=16_14.xlsx&amp;sheet=U0&amp;row=71&amp;col=10&amp;number=3.903&amp;sourceID=52","3.903")</f>
        <v>3.903</v>
      </c>
      <c r="K71" s="4" t="str">
        <f>HYPERLINK("http://141.218.60.56/~jnz1568/getInfo.php?workbook=16_14.xlsx&amp;sheet=U0&amp;row=71&amp;col=11&amp;number=2.58&amp;sourceID=52","2.58")</f>
        <v>2.58</v>
      </c>
    </row>
    <row r="72" spans="1:11">
      <c r="A72" s="3"/>
      <c r="B72" s="3"/>
      <c r="C72" s="3"/>
      <c r="D72" s="3"/>
      <c r="E72" s="3">
        <v>5</v>
      </c>
      <c r="F72" s="4" t="str">
        <f>HYPERLINK("http://141.218.60.56/~jnz1568/getInfo.php?workbook=16_14.xlsx&amp;sheet=U0&amp;row=72&amp;col=6&amp;number=3.8&amp;sourceID=50","3.8")</f>
        <v>3.8</v>
      </c>
      <c r="G72" s="4" t="str">
        <f>HYPERLINK("http://141.218.60.56/~jnz1568/getInfo.php?workbook=16_14.xlsx&amp;sheet=U0&amp;row=72&amp;col=7&amp;number=2.11&amp;sourceID=50","2.11")</f>
        <v>2.11</v>
      </c>
      <c r="H72" s="4" t="str">
        <f>HYPERLINK("http://141.218.60.56/~jnz1568/getInfo.php?workbook=16_14.xlsx&amp;sheet=U0&amp;row=72&amp;col=8&amp;number=3.8&amp;sourceID=51","3.8")</f>
        <v>3.8</v>
      </c>
      <c r="I72" s="4" t="str">
        <f>HYPERLINK("http://141.218.60.56/~jnz1568/getInfo.php?workbook=16_14.xlsx&amp;sheet=U0&amp;row=72&amp;col=9&amp;number=2.654&amp;sourceID=51","2.654")</f>
        <v>2.654</v>
      </c>
      <c r="J72" s="4" t="str">
        <f>HYPERLINK("http://141.218.60.56/~jnz1568/getInfo.php?workbook=16_14.xlsx&amp;sheet=U0&amp;row=72&amp;col=10&amp;number=3.954&amp;sourceID=52","3.954")</f>
        <v>3.954</v>
      </c>
      <c r="K72" s="4" t="str">
        <f>HYPERLINK("http://141.218.60.56/~jnz1568/getInfo.php?workbook=16_14.xlsx&amp;sheet=U0&amp;row=72&amp;col=11&amp;number=2.592&amp;sourceID=52","2.592")</f>
        <v>2.592</v>
      </c>
    </row>
    <row r="73" spans="1:11">
      <c r="A73" s="3"/>
      <c r="B73" s="3"/>
      <c r="C73" s="3"/>
      <c r="D73" s="3"/>
      <c r="E73" s="3">
        <v>6</v>
      </c>
      <c r="F73" s="4" t="str">
        <f>HYPERLINK("http://141.218.60.56/~jnz1568/getInfo.php?workbook=16_14.xlsx&amp;sheet=U0&amp;row=73&amp;col=6&amp;number=4&amp;sourceID=50","4")</f>
        <v>4</v>
      </c>
      <c r="G73" s="4" t="str">
        <f>HYPERLINK("http://141.218.60.56/~jnz1568/getInfo.php?workbook=16_14.xlsx&amp;sheet=U0&amp;row=73&amp;col=7&amp;number=2.17&amp;sourceID=50","2.17")</f>
        <v>2.17</v>
      </c>
      <c r="H73" s="4" t="str">
        <f>HYPERLINK("http://141.218.60.56/~jnz1568/getInfo.php?workbook=16_14.xlsx&amp;sheet=U0&amp;row=73&amp;col=8&amp;number=4&amp;sourceID=51","4")</f>
        <v>4</v>
      </c>
      <c r="I73" s="4" t="str">
        <f>HYPERLINK("http://141.218.60.56/~jnz1568/getInfo.php?workbook=16_14.xlsx&amp;sheet=U0&amp;row=73&amp;col=9&amp;number=2.637&amp;sourceID=51","2.637")</f>
        <v>2.637</v>
      </c>
      <c r="J73" s="4" t="str">
        <f>HYPERLINK("http://141.218.60.56/~jnz1568/getInfo.php?workbook=16_14.xlsx&amp;sheet=U0&amp;row=73&amp;col=10&amp;number=4&amp;sourceID=52","4")</f>
        <v>4</v>
      </c>
      <c r="K73" s="4" t="str">
        <f>HYPERLINK("http://141.218.60.56/~jnz1568/getInfo.php?workbook=16_14.xlsx&amp;sheet=U0&amp;row=73&amp;col=11&amp;number=2.604&amp;sourceID=52","2.604")</f>
        <v>2.604</v>
      </c>
    </row>
    <row r="74" spans="1:11">
      <c r="A74" s="3"/>
      <c r="B74" s="3"/>
      <c r="C74" s="3"/>
      <c r="D74" s="3"/>
      <c r="E74" s="3">
        <v>7</v>
      </c>
      <c r="F74" s="4" t="str">
        <f>HYPERLINK("http://141.218.60.56/~jnz1568/getInfo.php?workbook=16_14.xlsx&amp;sheet=U0&amp;row=74&amp;col=6&amp;number=4.2&amp;sourceID=50","4.2")</f>
        <v>4.2</v>
      </c>
      <c r="G74" s="4" t="str">
        <f>HYPERLINK("http://141.218.60.56/~jnz1568/getInfo.php?workbook=16_14.xlsx&amp;sheet=U0&amp;row=74&amp;col=7&amp;number=2.28&amp;sourceID=50","2.28")</f>
        <v>2.28</v>
      </c>
      <c r="H74" s="4" t="str">
        <f>HYPERLINK("http://141.218.60.56/~jnz1568/getInfo.php?workbook=16_14.xlsx&amp;sheet=U0&amp;row=74&amp;col=8&amp;number=4.2&amp;sourceID=51","4.2")</f>
        <v>4.2</v>
      </c>
      <c r="I74" s="4" t="str">
        <f>HYPERLINK("http://141.218.60.56/~jnz1568/getInfo.php?workbook=16_14.xlsx&amp;sheet=U0&amp;row=74&amp;col=9&amp;number=2.655&amp;sourceID=51","2.655")</f>
        <v>2.655</v>
      </c>
      <c r="J74" s="4" t="str">
        <f>HYPERLINK("http://141.218.60.56/~jnz1568/getInfo.php?workbook=16_14.xlsx&amp;sheet=U0&amp;row=74&amp;col=10&amp;number=4.041&amp;sourceID=52","4.041")</f>
        <v>4.041</v>
      </c>
      <c r="K74" s="4" t="str">
        <f>HYPERLINK("http://141.218.60.56/~jnz1568/getInfo.php?workbook=16_14.xlsx&amp;sheet=U0&amp;row=74&amp;col=11&amp;number=2.618&amp;sourceID=52","2.618")</f>
        <v>2.618</v>
      </c>
    </row>
    <row r="75" spans="1:11">
      <c r="A75" s="3"/>
      <c r="B75" s="3"/>
      <c r="C75" s="3"/>
      <c r="D75" s="3"/>
      <c r="E75" s="3">
        <v>8</v>
      </c>
      <c r="F75" s="4" t="str">
        <f>HYPERLINK("http://141.218.60.56/~jnz1568/getInfo.php?workbook=16_14.xlsx&amp;sheet=U0&amp;row=75&amp;col=6&amp;number=4.4&amp;sourceID=50","4.4")</f>
        <v>4.4</v>
      </c>
      <c r="G75" s="4" t="str">
        <f>HYPERLINK("http://141.218.60.56/~jnz1568/getInfo.php?workbook=16_14.xlsx&amp;sheet=U0&amp;row=75&amp;col=7&amp;number=2.36&amp;sourceID=50","2.36")</f>
        <v>2.36</v>
      </c>
      <c r="H75" s="4" t="str">
        <f>HYPERLINK("http://141.218.60.56/~jnz1568/getInfo.php?workbook=16_14.xlsx&amp;sheet=U0&amp;row=75&amp;col=8&amp;number=4.4&amp;sourceID=51","4.4")</f>
        <v>4.4</v>
      </c>
      <c r="I75" s="4" t="str">
        <f>HYPERLINK("http://141.218.60.56/~jnz1568/getInfo.php?workbook=16_14.xlsx&amp;sheet=U0&amp;row=75&amp;col=9&amp;number=2.663&amp;sourceID=51","2.663")</f>
        <v>2.663</v>
      </c>
      <c r="J75" s="4" t="str">
        <f>HYPERLINK("http://141.218.60.56/~jnz1568/getInfo.php?workbook=16_14.xlsx&amp;sheet=U0&amp;row=75&amp;col=10&amp;number=4.079&amp;sourceID=52","4.079")</f>
        <v>4.079</v>
      </c>
      <c r="K75" s="4" t="str">
        <f>HYPERLINK("http://141.218.60.56/~jnz1568/getInfo.php?workbook=16_14.xlsx&amp;sheet=U0&amp;row=75&amp;col=11&amp;number=2.631&amp;sourceID=52","2.631")</f>
        <v>2.631</v>
      </c>
    </row>
    <row r="76" spans="1:11">
      <c r="A76" s="3"/>
      <c r="B76" s="3"/>
      <c r="C76" s="3"/>
      <c r="D76" s="3"/>
      <c r="E76" s="3">
        <v>9</v>
      </c>
      <c r="F76" s="4" t="str">
        <f>HYPERLINK("http://141.218.60.56/~jnz1568/getInfo.php?workbook=16_14.xlsx&amp;sheet=U0&amp;row=76&amp;col=6&amp;number=4.6&amp;sourceID=50","4.6")</f>
        <v>4.6</v>
      </c>
      <c r="G76" s="4" t="str">
        <f>HYPERLINK("http://141.218.60.56/~jnz1568/getInfo.php?workbook=16_14.xlsx&amp;sheet=U0&amp;row=76&amp;col=7&amp;number=2.35&amp;sourceID=50","2.35")</f>
        <v>2.35</v>
      </c>
      <c r="H76" s="4" t="str">
        <f>HYPERLINK("http://141.218.60.56/~jnz1568/getInfo.php?workbook=16_14.xlsx&amp;sheet=U0&amp;row=76&amp;col=8&amp;number=4.6&amp;sourceID=51","4.6")</f>
        <v>4.6</v>
      </c>
      <c r="I76" s="4" t="str">
        <f>HYPERLINK("http://141.218.60.56/~jnz1568/getInfo.php?workbook=16_14.xlsx&amp;sheet=U0&amp;row=76&amp;col=9&amp;number=2.606&amp;sourceID=51","2.606")</f>
        <v>2.606</v>
      </c>
      <c r="J76" s="4" t="str">
        <f>HYPERLINK("http://141.218.60.56/~jnz1568/getInfo.php?workbook=16_14.xlsx&amp;sheet=U0&amp;row=76&amp;col=10&amp;number=4.114&amp;sourceID=52","4.114")</f>
        <v>4.114</v>
      </c>
      <c r="K76" s="4" t="str">
        <f>HYPERLINK("http://141.218.60.56/~jnz1568/getInfo.php?workbook=16_14.xlsx&amp;sheet=U0&amp;row=76&amp;col=11&amp;number=2.643&amp;sourceID=52","2.643")</f>
        <v>2.643</v>
      </c>
    </row>
    <row r="77" spans="1:11">
      <c r="A77" s="3"/>
      <c r="B77" s="3"/>
      <c r="C77" s="3"/>
      <c r="D77" s="3"/>
      <c r="E77" s="3">
        <v>10</v>
      </c>
      <c r="F77" s="4" t="str">
        <f>HYPERLINK("http://141.218.60.56/~jnz1568/getInfo.php?workbook=16_14.xlsx&amp;sheet=U0&amp;row=77&amp;col=6&amp;number=4.8&amp;sourceID=50","4.8")</f>
        <v>4.8</v>
      </c>
      <c r="G77" s="4" t="str">
        <f>HYPERLINK("http://141.218.60.56/~jnz1568/getInfo.php?workbook=16_14.xlsx&amp;sheet=U0&amp;row=77&amp;col=7&amp;number=2.23&amp;sourceID=50","2.23")</f>
        <v>2.23</v>
      </c>
      <c r="H77" s="4" t="str">
        <f>HYPERLINK("http://141.218.60.56/~jnz1568/getInfo.php?workbook=16_14.xlsx&amp;sheet=U0&amp;row=77&amp;col=8&amp;number=4.8&amp;sourceID=51","4.8")</f>
        <v>4.8</v>
      </c>
      <c r="I77" s="4" t="str">
        <f>HYPERLINK("http://141.218.60.56/~jnz1568/getInfo.php?workbook=16_14.xlsx&amp;sheet=U0&amp;row=77&amp;col=9&amp;number=2.442&amp;sourceID=51","2.442")</f>
        <v>2.442</v>
      </c>
      <c r="J77" s="4" t="str">
        <f>HYPERLINK("http://141.218.60.56/~jnz1568/getInfo.php?workbook=16_14.xlsx&amp;sheet=U0&amp;row=77&amp;col=10&amp;number=4.146&amp;sourceID=52","4.146")</f>
        <v>4.146</v>
      </c>
      <c r="K77" s="4" t="str">
        <f>HYPERLINK("http://141.218.60.56/~jnz1568/getInfo.php?workbook=16_14.xlsx&amp;sheet=U0&amp;row=77&amp;col=11&amp;number=2.655&amp;sourceID=52","2.655")</f>
        <v>2.655</v>
      </c>
    </row>
    <row r="78" spans="1:11">
      <c r="A78" s="3"/>
      <c r="B78" s="3"/>
      <c r="C78" s="3"/>
      <c r="D78" s="3"/>
      <c r="E78" s="3">
        <v>11</v>
      </c>
      <c r="F78" s="4" t="str">
        <f>HYPERLINK("http://141.218.60.56/~jnz1568/getInfo.php?workbook=16_14.xlsx&amp;sheet=U0&amp;row=78&amp;col=6&amp;number=5&amp;sourceID=50","5")</f>
        <v>5</v>
      </c>
      <c r="G78" s="4" t="str">
        <f>HYPERLINK("http://141.218.60.56/~jnz1568/getInfo.php?workbook=16_14.xlsx&amp;sheet=U0&amp;row=78&amp;col=7&amp;number=1.98&amp;sourceID=50","1.98")</f>
        <v>1.98</v>
      </c>
      <c r="H78" s="4" t="str">
        <f>HYPERLINK("http://141.218.60.56/~jnz1568/getInfo.php?workbook=16_14.xlsx&amp;sheet=U0&amp;row=78&amp;col=8&amp;number=5&amp;sourceID=51","5")</f>
        <v>5</v>
      </c>
      <c r="I78" s="4" t="str">
        <f>HYPERLINK("http://141.218.60.56/~jnz1568/getInfo.php?workbook=16_14.xlsx&amp;sheet=U0&amp;row=78&amp;col=9&amp;number=2.158&amp;sourceID=51","2.158")</f>
        <v>2.158</v>
      </c>
      <c r="J78" s="4" t="str">
        <f>HYPERLINK("http://141.218.60.56/~jnz1568/getInfo.php?workbook=16_14.xlsx&amp;sheet=U0&amp;row=78&amp;col=10&amp;number=4.176&amp;sourceID=52","4.176")</f>
        <v>4.176</v>
      </c>
      <c r="K78" s="4" t="str">
        <f>HYPERLINK("http://141.218.60.56/~jnz1568/getInfo.php?workbook=16_14.xlsx&amp;sheet=U0&amp;row=78&amp;col=11&amp;number=2.666&amp;sourceID=52","2.666")</f>
        <v>2.666</v>
      </c>
    </row>
    <row r="79" spans="1:11">
      <c r="A79" s="3"/>
      <c r="B79" s="3"/>
      <c r="C79" s="3"/>
      <c r="D79" s="3"/>
      <c r="E79" s="3">
        <v>12</v>
      </c>
      <c r="F79" s="4" t="str">
        <f>HYPERLINK("http://141.218.60.56/~jnz1568/getInfo.php?workbook=16_14.xlsx&amp;sheet=U0&amp;row=79&amp;col=6&amp;number=5.2&amp;sourceID=50","5.2")</f>
        <v>5.2</v>
      </c>
      <c r="G79" s="4" t="str">
        <f>HYPERLINK("http://141.218.60.56/~jnz1568/getInfo.php?workbook=16_14.xlsx&amp;sheet=U0&amp;row=79&amp;col=7&amp;number=1.64&amp;sourceID=50","1.64")</f>
        <v>1.64</v>
      </c>
      <c r="H79" s="4" t="str">
        <f>HYPERLINK("http://141.218.60.56/~jnz1568/getInfo.php?workbook=16_14.xlsx&amp;sheet=U0&amp;row=79&amp;col=8&amp;number=&amp;sourceID=51","")</f>
        <v/>
      </c>
      <c r="I79" s="4" t="str">
        <f>HYPERLINK("http://141.218.60.56/~jnz1568/getInfo.php?workbook=16_14.xlsx&amp;sheet=U0&amp;row=79&amp;col=9&amp;number=&amp;sourceID=51","")</f>
        <v/>
      </c>
      <c r="J79" s="4" t="str">
        <f>HYPERLINK("http://141.218.60.56/~jnz1568/getInfo.php?workbook=16_14.xlsx&amp;sheet=U0&amp;row=79&amp;col=10&amp;number=4.204&amp;sourceID=52","4.204")</f>
        <v>4.204</v>
      </c>
      <c r="K79" s="4" t="str">
        <f>HYPERLINK("http://141.218.60.56/~jnz1568/getInfo.php?workbook=16_14.xlsx&amp;sheet=U0&amp;row=79&amp;col=11&amp;number=2.675&amp;sourceID=52","2.675")</f>
        <v>2.675</v>
      </c>
    </row>
    <row r="80" spans="1:11">
      <c r="A80" s="3"/>
      <c r="B80" s="3"/>
      <c r="C80" s="3"/>
      <c r="D80" s="3"/>
      <c r="E80" s="3">
        <v>13</v>
      </c>
      <c r="F80" s="4" t="str">
        <f>HYPERLINK("http://141.218.60.56/~jnz1568/getInfo.php?workbook=16_14.xlsx&amp;sheet=U0&amp;row=80&amp;col=6&amp;number=5.4&amp;sourceID=50","5.4")</f>
        <v>5.4</v>
      </c>
      <c r="G80" s="4" t="str">
        <f>HYPERLINK("http://141.218.60.56/~jnz1568/getInfo.php?workbook=16_14.xlsx&amp;sheet=U0&amp;row=80&amp;col=7&amp;number=1.29&amp;sourceID=50","1.29")</f>
        <v>1.29</v>
      </c>
      <c r="H80" s="4" t="str">
        <f>HYPERLINK("http://141.218.60.56/~jnz1568/getInfo.php?workbook=16_14.xlsx&amp;sheet=U0&amp;row=80&amp;col=8&amp;number=&amp;sourceID=51","")</f>
        <v/>
      </c>
      <c r="I80" s="4" t="str">
        <f>HYPERLINK("http://141.218.60.56/~jnz1568/getInfo.php?workbook=16_14.xlsx&amp;sheet=U0&amp;row=80&amp;col=9&amp;number=&amp;sourceID=51","")</f>
        <v/>
      </c>
      <c r="J80" s="4" t="str">
        <f>HYPERLINK("http://141.218.60.56/~jnz1568/getInfo.php?workbook=16_14.xlsx&amp;sheet=U0&amp;row=80&amp;col=10&amp;number=4.23&amp;sourceID=52","4.23")</f>
        <v>4.23</v>
      </c>
      <c r="K80" s="4" t="str">
        <f>HYPERLINK("http://141.218.60.56/~jnz1568/getInfo.php?workbook=16_14.xlsx&amp;sheet=U0&amp;row=80&amp;col=11&amp;number=2.683&amp;sourceID=52","2.683")</f>
        <v>2.683</v>
      </c>
    </row>
    <row r="81" spans="1:11">
      <c r="A81" s="3"/>
      <c r="B81" s="3"/>
      <c r="C81" s="3"/>
      <c r="D81" s="3"/>
      <c r="E81" s="3">
        <v>14</v>
      </c>
      <c r="F81" s="4" t="str">
        <f>HYPERLINK("http://141.218.60.56/~jnz1568/getInfo.php?workbook=16_14.xlsx&amp;sheet=U0&amp;row=81&amp;col=6&amp;number=5.6&amp;sourceID=50","5.6")</f>
        <v>5.6</v>
      </c>
      <c r="G81" s="4" t="str">
        <f>HYPERLINK("http://141.218.60.56/~jnz1568/getInfo.php?workbook=16_14.xlsx&amp;sheet=U0&amp;row=81&amp;col=7&amp;number=0.965&amp;sourceID=50","0.965")</f>
        <v>0.965</v>
      </c>
      <c r="H81" s="4" t="str">
        <f>HYPERLINK("http://141.218.60.56/~jnz1568/getInfo.php?workbook=16_14.xlsx&amp;sheet=U0&amp;row=81&amp;col=8&amp;number=&amp;sourceID=51","")</f>
        <v/>
      </c>
      <c r="I81" s="4" t="str">
        <f>HYPERLINK("http://141.218.60.56/~jnz1568/getInfo.php?workbook=16_14.xlsx&amp;sheet=U0&amp;row=81&amp;col=9&amp;number=&amp;sourceID=51","")</f>
        <v/>
      </c>
      <c r="J81" s="4" t="str">
        <f>HYPERLINK("http://141.218.60.56/~jnz1568/getInfo.php?workbook=16_14.xlsx&amp;sheet=U0&amp;row=81&amp;col=10&amp;number=4.255&amp;sourceID=52","4.255")</f>
        <v>4.255</v>
      </c>
      <c r="K81" s="4" t="str">
        <f>HYPERLINK("http://141.218.60.56/~jnz1568/getInfo.php?workbook=16_14.xlsx&amp;sheet=U0&amp;row=81&amp;col=11&amp;number=2.69&amp;sourceID=52","2.69")</f>
        <v>2.69</v>
      </c>
    </row>
    <row r="82" spans="1:11">
      <c r="A82" s="3"/>
      <c r="B82" s="3"/>
      <c r="C82" s="3"/>
      <c r="D82" s="3"/>
      <c r="E82" s="3">
        <v>15</v>
      </c>
      <c r="F82" s="4" t="str">
        <f>HYPERLINK("http://141.218.60.56/~jnz1568/getInfo.php?workbook=16_14.xlsx&amp;sheet=U0&amp;row=82&amp;col=6&amp;number=5.8&amp;sourceID=50","5.8")</f>
        <v>5.8</v>
      </c>
      <c r="G82" s="4" t="str">
        <f>HYPERLINK("http://141.218.60.56/~jnz1568/getInfo.php?workbook=16_14.xlsx&amp;sheet=U0&amp;row=82&amp;col=7&amp;number=0.698&amp;sourceID=50","0.698")</f>
        <v>0.698</v>
      </c>
      <c r="H82" s="4" t="str">
        <f>HYPERLINK("http://141.218.60.56/~jnz1568/getInfo.php?workbook=16_14.xlsx&amp;sheet=U0&amp;row=82&amp;col=8&amp;number=&amp;sourceID=51","")</f>
        <v/>
      </c>
      <c r="I82" s="4" t="str">
        <f>HYPERLINK("http://141.218.60.56/~jnz1568/getInfo.php?workbook=16_14.xlsx&amp;sheet=U0&amp;row=82&amp;col=9&amp;number=&amp;sourceID=51","")</f>
        <v/>
      </c>
      <c r="J82" s="4" t="str">
        <f>HYPERLINK("http://141.218.60.56/~jnz1568/getInfo.php?workbook=16_14.xlsx&amp;sheet=U0&amp;row=82&amp;col=10&amp;number=4.279&amp;sourceID=52","4.279")</f>
        <v>4.279</v>
      </c>
      <c r="K82" s="4" t="str">
        <f>HYPERLINK("http://141.218.60.56/~jnz1568/getInfo.php?workbook=16_14.xlsx&amp;sheet=U0&amp;row=82&amp;col=11&amp;number=2.695&amp;sourceID=52","2.695")</f>
        <v>2.695</v>
      </c>
    </row>
    <row r="83" spans="1:11">
      <c r="A83" s="3"/>
      <c r="B83" s="3"/>
      <c r="C83" s="3"/>
      <c r="D83" s="3"/>
      <c r="E83" s="3">
        <v>16</v>
      </c>
      <c r="F83" s="4" t="str">
        <f>HYPERLINK("http://141.218.60.56/~jnz1568/getInfo.php?workbook=16_14.xlsx&amp;sheet=U0&amp;row=83&amp;col=6&amp;number=6&amp;sourceID=50","6")</f>
        <v>6</v>
      </c>
      <c r="G83" s="4" t="str">
        <f>HYPERLINK("http://141.218.60.56/~jnz1568/getInfo.php?workbook=16_14.xlsx&amp;sheet=U0&amp;row=83&amp;col=7&amp;number=0.49&amp;sourceID=50","0.49")</f>
        <v>0.49</v>
      </c>
      <c r="H83" s="4" t="str">
        <f>HYPERLINK("http://141.218.60.56/~jnz1568/getInfo.php?workbook=16_14.xlsx&amp;sheet=U0&amp;row=83&amp;col=8&amp;number=&amp;sourceID=51","")</f>
        <v/>
      </c>
      <c r="I83" s="4" t="str">
        <f>HYPERLINK("http://141.218.60.56/~jnz1568/getInfo.php?workbook=16_14.xlsx&amp;sheet=U0&amp;row=83&amp;col=9&amp;number=&amp;sourceID=51","")</f>
        <v/>
      </c>
      <c r="J83" s="4" t="str">
        <f>HYPERLINK("http://141.218.60.56/~jnz1568/getInfo.php?workbook=16_14.xlsx&amp;sheet=U0&amp;row=83&amp;col=10&amp;number=4.301&amp;sourceID=52","4.301")</f>
        <v>4.301</v>
      </c>
      <c r="K83" s="4" t="str">
        <f>HYPERLINK("http://141.218.60.56/~jnz1568/getInfo.php?workbook=16_14.xlsx&amp;sheet=U0&amp;row=83&amp;col=11&amp;number=2.7&amp;sourceID=52","2.7")</f>
        <v>2.7</v>
      </c>
    </row>
    <row r="84" spans="1:11">
      <c r="A84" s="3">
        <v>16</v>
      </c>
      <c r="B84" s="3">
        <v>14</v>
      </c>
      <c r="C84" s="3">
        <v>4</v>
      </c>
      <c r="D84" s="3">
        <v>3</v>
      </c>
      <c r="E84" s="3">
        <v>1</v>
      </c>
      <c r="F84" s="4" t="str">
        <f>HYPERLINK("http://141.218.60.56/~jnz1568/getInfo.php?workbook=16_14.xlsx&amp;sheet=U0&amp;row=84&amp;col=6&amp;number=3&amp;sourceID=50","3")</f>
        <v>3</v>
      </c>
      <c r="G84" s="4" t="str">
        <f>HYPERLINK("http://141.218.60.56/~jnz1568/getInfo.php?workbook=16_14.xlsx&amp;sheet=U0&amp;row=84&amp;col=7&amp;number=3.9&amp;sourceID=50","3.9")</f>
        <v>3.9</v>
      </c>
      <c r="H84" s="4" t="str">
        <f>HYPERLINK("http://141.218.60.56/~jnz1568/getInfo.php?workbook=16_14.xlsx&amp;sheet=U0&amp;row=84&amp;col=8&amp;number=3&amp;sourceID=51","3")</f>
        <v>3</v>
      </c>
      <c r="I84" s="4" t="str">
        <f>HYPERLINK("http://141.218.60.56/~jnz1568/getInfo.php?workbook=16_14.xlsx&amp;sheet=U0&amp;row=84&amp;col=9&amp;number=3.145&amp;sourceID=51","3.145")</f>
        <v>3.145</v>
      </c>
      <c r="J84" s="4" t="str">
        <f>HYPERLINK("http://141.218.60.56/~jnz1568/getInfo.php?workbook=16_14.xlsx&amp;sheet=U0&amp;row=84&amp;col=10&amp;number=3.699&amp;sourceID=52","3.699")</f>
        <v>3.699</v>
      </c>
      <c r="K84" s="4" t="str">
        <f>HYPERLINK("http://141.218.60.56/~jnz1568/getInfo.php?workbook=16_14.xlsx&amp;sheet=U0&amp;row=84&amp;col=11&amp;number=4.269&amp;sourceID=52","4.269")</f>
        <v>4.269</v>
      </c>
    </row>
    <row r="85" spans="1:11">
      <c r="A85" s="3"/>
      <c r="B85" s="3"/>
      <c r="C85" s="3"/>
      <c r="D85" s="3"/>
      <c r="E85" s="3">
        <v>2</v>
      </c>
      <c r="F85" s="4" t="str">
        <f>HYPERLINK("http://141.218.60.56/~jnz1568/getInfo.php?workbook=16_14.xlsx&amp;sheet=U0&amp;row=85&amp;col=6&amp;number=3.2&amp;sourceID=50","3.2")</f>
        <v>3.2</v>
      </c>
      <c r="G85" s="4" t="str">
        <f>HYPERLINK("http://141.218.60.56/~jnz1568/getInfo.php?workbook=16_14.xlsx&amp;sheet=U0&amp;row=85&amp;col=7&amp;number=4.07&amp;sourceID=50","4.07")</f>
        <v>4.07</v>
      </c>
      <c r="H85" s="4" t="str">
        <f>HYPERLINK("http://141.218.60.56/~jnz1568/getInfo.php?workbook=16_14.xlsx&amp;sheet=U0&amp;row=85&amp;col=8&amp;number=3.2&amp;sourceID=51","3.2")</f>
        <v>3.2</v>
      </c>
      <c r="I85" s="4" t="str">
        <f>HYPERLINK("http://141.218.60.56/~jnz1568/getInfo.php?workbook=16_14.xlsx&amp;sheet=U0&amp;row=85&amp;col=9&amp;number=3.719&amp;sourceID=51","3.719")</f>
        <v>3.719</v>
      </c>
      <c r="J85" s="4" t="str">
        <f>HYPERLINK("http://141.218.60.56/~jnz1568/getInfo.php?workbook=16_14.xlsx&amp;sheet=U0&amp;row=85&amp;col=10&amp;number=3.778&amp;sourceID=52","3.778")</f>
        <v>3.778</v>
      </c>
      <c r="K85" s="4" t="str">
        <f>HYPERLINK("http://141.218.60.56/~jnz1568/getInfo.php?workbook=16_14.xlsx&amp;sheet=U0&amp;row=85&amp;col=11&amp;number=4.275&amp;sourceID=52","4.275")</f>
        <v>4.275</v>
      </c>
    </row>
    <row r="86" spans="1:11">
      <c r="A86" s="3"/>
      <c r="B86" s="3"/>
      <c r="C86" s="3"/>
      <c r="D86" s="3"/>
      <c r="E86" s="3">
        <v>3</v>
      </c>
      <c r="F86" s="4" t="str">
        <f>HYPERLINK("http://141.218.60.56/~jnz1568/getInfo.php?workbook=16_14.xlsx&amp;sheet=U0&amp;row=86&amp;col=6&amp;number=3.4&amp;sourceID=50","3.4")</f>
        <v>3.4</v>
      </c>
      <c r="G86" s="4" t="str">
        <f>HYPERLINK("http://141.218.60.56/~jnz1568/getInfo.php?workbook=16_14.xlsx&amp;sheet=U0&amp;row=86&amp;col=7&amp;number=4.08&amp;sourceID=50","4.08")</f>
        <v>4.08</v>
      </c>
      <c r="H86" s="4" t="str">
        <f>HYPERLINK("http://141.218.60.56/~jnz1568/getInfo.php?workbook=16_14.xlsx&amp;sheet=U0&amp;row=86&amp;col=8&amp;number=3.4&amp;sourceID=51","3.4")</f>
        <v>3.4</v>
      </c>
      <c r="I86" s="4" t="str">
        <f>HYPERLINK("http://141.218.60.56/~jnz1568/getInfo.php?workbook=16_14.xlsx&amp;sheet=U0&amp;row=86&amp;col=9&amp;number=4.186&amp;sourceID=51","4.186")</f>
        <v>4.186</v>
      </c>
      <c r="J86" s="4" t="str">
        <f>HYPERLINK("http://141.218.60.56/~jnz1568/getInfo.php?workbook=16_14.xlsx&amp;sheet=U0&amp;row=86&amp;col=10&amp;number=3.845&amp;sourceID=52","3.845")</f>
        <v>3.845</v>
      </c>
      <c r="K86" s="4" t="str">
        <f>HYPERLINK("http://141.218.60.56/~jnz1568/getInfo.php?workbook=16_14.xlsx&amp;sheet=U0&amp;row=86&amp;col=11&amp;number=4.286&amp;sourceID=52","4.286")</f>
        <v>4.286</v>
      </c>
    </row>
    <row r="87" spans="1:11">
      <c r="A87" s="3"/>
      <c r="B87" s="3"/>
      <c r="C87" s="3"/>
      <c r="D87" s="3"/>
      <c r="E87" s="3">
        <v>4</v>
      </c>
      <c r="F87" s="4" t="str">
        <f>HYPERLINK("http://141.218.60.56/~jnz1568/getInfo.php?workbook=16_14.xlsx&amp;sheet=U0&amp;row=87&amp;col=6&amp;number=3.6&amp;sourceID=50","3.6")</f>
        <v>3.6</v>
      </c>
      <c r="G87" s="4" t="str">
        <f>HYPERLINK("http://141.218.60.56/~jnz1568/getInfo.php?workbook=16_14.xlsx&amp;sheet=U0&amp;row=87&amp;col=7&amp;number=3.99&amp;sourceID=50","3.99")</f>
        <v>3.99</v>
      </c>
      <c r="H87" s="4" t="str">
        <f>HYPERLINK("http://141.218.60.56/~jnz1568/getInfo.php?workbook=16_14.xlsx&amp;sheet=U0&amp;row=87&amp;col=8&amp;number=3.6&amp;sourceID=51","3.6")</f>
        <v>3.6</v>
      </c>
      <c r="I87" s="4" t="str">
        <f>HYPERLINK("http://141.218.60.56/~jnz1568/getInfo.php?workbook=16_14.xlsx&amp;sheet=U0&amp;row=87&amp;col=9&amp;number=4.411&amp;sourceID=51","4.411")</f>
        <v>4.411</v>
      </c>
      <c r="J87" s="4" t="str">
        <f>HYPERLINK("http://141.218.60.56/~jnz1568/getInfo.php?workbook=16_14.xlsx&amp;sheet=U0&amp;row=87&amp;col=10&amp;number=3.903&amp;sourceID=52","3.903")</f>
        <v>3.903</v>
      </c>
      <c r="K87" s="4" t="str">
        <f>HYPERLINK("http://141.218.60.56/~jnz1568/getInfo.php?workbook=16_14.xlsx&amp;sheet=U0&amp;row=87&amp;col=11&amp;number=4.3&amp;sourceID=52","4.3")</f>
        <v>4.3</v>
      </c>
    </row>
    <row r="88" spans="1:11">
      <c r="A88" s="3"/>
      <c r="B88" s="3"/>
      <c r="C88" s="3"/>
      <c r="D88" s="3"/>
      <c r="E88" s="3">
        <v>5</v>
      </c>
      <c r="F88" s="4" t="str">
        <f>HYPERLINK("http://141.218.60.56/~jnz1568/getInfo.php?workbook=16_14.xlsx&amp;sheet=U0&amp;row=88&amp;col=6&amp;number=3.8&amp;sourceID=50","3.8")</f>
        <v>3.8</v>
      </c>
      <c r="G88" s="4" t="str">
        <f>HYPERLINK("http://141.218.60.56/~jnz1568/getInfo.php?workbook=16_14.xlsx&amp;sheet=U0&amp;row=88&amp;col=7&amp;number=3.94&amp;sourceID=50","3.94")</f>
        <v>3.94</v>
      </c>
      <c r="H88" s="4" t="str">
        <f>HYPERLINK("http://141.218.60.56/~jnz1568/getInfo.php?workbook=16_14.xlsx&amp;sheet=U0&amp;row=88&amp;col=8&amp;number=3.8&amp;sourceID=51","3.8")</f>
        <v>3.8</v>
      </c>
      <c r="I88" s="4" t="str">
        <f>HYPERLINK("http://141.218.60.56/~jnz1568/getInfo.php?workbook=16_14.xlsx&amp;sheet=U0&amp;row=88&amp;col=9&amp;number=4.423&amp;sourceID=51","4.423")</f>
        <v>4.423</v>
      </c>
      <c r="J88" s="4" t="str">
        <f>HYPERLINK("http://141.218.60.56/~jnz1568/getInfo.php?workbook=16_14.xlsx&amp;sheet=U0&amp;row=88&amp;col=10&amp;number=3.954&amp;sourceID=52","3.954")</f>
        <v>3.954</v>
      </c>
      <c r="K88" s="4" t="str">
        <f>HYPERLINK("http://141.218.60.56/~jnz1568/getInfo.php?workbook=16_14.xlsx&amp;sheet=U0&amp;row=88&amp;col=11&amp;number=4.319&amp;sourceID=52","4.319")</f>
        <v>4.319</v>
      </c>
    </row>
    <row r="89" spans="1:11">
      <c r="A89" s="3"/>
      <c r="B89" s="3"/>
      <c r="C89" s="3"/>
      <c r="D89" s="3"/>
      <c r="E89" s="3">
        <v>6</v>
      </c>
      <c r="F89" s="4" t="str">
        <f>HYPERLINK("http://141.218.60.56/~jnz1568/getInfo.php?workbook=16_14.xlsx&amp;sheet=U0&amp;row=89&amp;col=6&amp;number=4&amp;sourceID=50","4")</f>
        <v>4</v>
      </c>
      <c r="G89" s="4" t="str">
        <f>HYPERLINK("http://141.218.60.56/~jnz1568/getInfo.php?workbook=16_14.xlsx&amp;sheet=U0&amp;row=89&amp;col=7&amp;number=4.02&amp;sourceID=50","4.02")</f>
        <v>4.02</v>
      </c>
      <c r="H89" s="4" t="str">
        <f>HYPERLINK("http://141.218.60.56/~jnz1568/getInfo.php?workbook=16_14.xlsx&amp;sheet=U0&amp;row=89&amp;col=8&amp;number=4&amp;sourceID=51","4")</f>
        <v>4</v>
      </c>
      <c r="I89" s="4" t="str">
        <f>HYPERLINK("http://141.218.60.56/~jnz1568/getInfo.php?workbook=16_14.xlsx&amp;sheet=U0&amp;row=89&amp;col=9&amp;number=4.395&amp;sourceID=51","4.395")</f>
        <v>4.395</v>
      </c>
      <c r="J89" s="4" t="str">
        <f>HYPERLINK("http://141.218.60.56/~jnz1568/getInfo.php?workbook=16_14.xlsx&amp;sheet=U0&amp;row=89&amp;col=10&amp;number=4&amp;sourceID=52","4")</f>
        <v>4</v>
      </c>
      <c r="K89" s="4" t="str">
        <f>HYPERLINK("http://141.218.60.56/~jnz1568/getInfo.php?workbook=16_14.xlsx&amp;sheet=U0&amp;row=89&amp;col=11&amp;number=4.34&amp;sourceID=52","4.34")</f>
        <v>4.34</v>
      </c>
    </row>
    <row r="90" spans="1:11">
      <c r="A90" s="3"/>
      <c r="B90" s="3"/>
      <c r="C90" s="3"/>
      <c r="D90" s="3"/>
      <c r="E90" s="3">
        <v>7</v>
      </c>
      <c r="F90" s="4" t="str">
        <f>HYPERLINK("http://141.218.60.56/~jnz1568/getInfo.php?workbook=16_14.xlsx&amp;sheet=U0&amp;row=90&amp;col=6&amp;number=4.2&amp;sourceID=50","4.2")</f>
        <v>4.2</v>
      </c>
      <c r="G90" s="4" t="str">
        <f>HYPERLINK("http://141.218.60.56/~jnz1568/getInfo.php?workbook=16_14.xlsx&amp;sheet=U0&amp;row=90&amp;col=7&amp;number=4.19&amp;sourceID=50","4.19")</f>
        <v>4.19</v>
      </c>
      <c r="H90" s="4" t="str">
        <f>HYPERLINK("http://141.218.60.56/~jnz1568/getInfo.php?workbook=16_14.xlsx&amp;sheet=U0&amp;row=90&amp;col=8&amp;number=4.2&amp;sourceID=51","4.2")</f>
        <v>4.2</v>
      </c>
      <c r="I90" s="4" t="str">
        <f>HYPERLINK("http://141.218.60.56/~jnz1568/getInfo.php?workbook=16_14.xlsx&amp;sheet=U0&amp;row=90&amp;col=9&amp;number=4.424&amp;sourceID=51","4.424")</f>
        <v>4.424</v>
      </c>
      <c r="J90" s="4" t="str">
        <f>HYPERLINK("http://141.218.60.56/~jnz1568/getInfo.php?workbook=16_14.xlsx&amp;sheet=U0&amp;row=90&amp;col=10&amp;number=4.041&amp;sourceID=52","4.041")</f>
        <v>4.041</v>
      </c>
      <c r="K90" s="4" t="str">
        <f>HYPERLINK("http://141.218.60.56/~jnz1568/getInfo.php?workbook=16_14.xlsx&amp;sheet=U0&amp;row=90&amp;col=11&amp;number=4.363&amp;sourceID=52","4.363")</f>
        <v>4.363</v>
      </c>
    </row>
    <row r="91" spans="1:11">
      <c r="A91" s="3"/>
      <c r="B91" s="3"/>
      <c r="C91" s="3"/>
      <c r="D91" s="3"/>
      <c r="E91" s="3">
        <v>8</v>
      </c>
      <c r="F91" s="4" t="str">
        <f>HYPERLINK("http://141.218.60.56/~jnz1568/getInfo.php?workbook=16_14.xlsx&amp;sheet=U0&amp;row=91&amp;col=6&amp;number=4.4&amp;sourceID=50","4.4")</f>
        <v>4.4</v>
      </c>
      <c r="G91" s="4" t="str">
        <f>HYPERLINK("http://141.218.60.56/~jnz1568/getInfo.php?workbook=16_14.xlsx&amp;sheet=U0&amp;row=91&amp;col=7&amp;number=4.3&amp;sourceID=50","4.3")</f>
        <v>4.3</v>
      </c>
      <c r="H91" s="4" t="str">
        <f>HYPERLINK("http://141.218.60.56/~jnz1568/getInfo.php?workbook=16_14.xlsx&amp;sheet=U0&amp;row=91&amp;col=8&amp;number=4.4&amp;sourceID=51","4.4")</f>
        <v>4.4</v>
      </c>
      <c r="I91" s="4" t="str">
        <f>HYPERLINK("http://141.218.60.56/~jnz1568/getInfo.php?workbook=16_14.xlsx&amp;sheet=U0&amp;row=91&amp;col=9&amp;number=4.439&amp;sourceID=51","4.439")</f>
        <v>4.439</v>
      </c>
      <c r="J91" s="4" t="str">
        <f>HYPERLINK("http://141.218.60.56/~jnz1568/getInfo.php?workbook=16_14.xlsx&amp;sheet=U0&amp;row=91&amp;col=10&amp;number=4.079&amp;sourceID=52","4.079")</f>
        <v>4.079</v>
      </c>
      <c r="K91" s="4" t="str">
        <f>HYPERLINK("http://141.218.60.56/~jnz1568/getInfo.php?workbook=16_14.xlsx&amp;sheet=U0&amp;row=91&amp;col=11&amp;number=4.385&amp;sourceID=52","4.385")</f>
        <v>4.385</v>
      </c>
    </row>
    <row r="92" spans="1:11">
      <c r="A92" s="3"/>
      <c r="B92" s="3"/>
      <c r="C92" s="3"/>
      <c r="D92" s="3"/>
      <c r="E92" s="3">
        <v>9</v>
      </c>
      <c r="F92" s="4" t="str">
        <f>HYPERLINK("http://141.218.60.56/~jnz1568/getInfo.php?workbook=16_14.xlsx&amp;sheet=U0&amp;row=92&amp;col=6&amp;number=4.6&amp;sourceID=50","4.6")</f>
        <v>4.6</v>
      </c>
      <c r="G92" s="4" t="str">
        <f>HYPERLINK("http://141.218.60.56/~jnz1568/getInfo.php?workbook=16_14.xlsx&amp;sheet=U0&amp;row=92&amp;col=7&amp;number=4.26&amp;sourceID=50","4.26")</f>
        <v>4.26</v>
      </c>
      <c r="H92" s="4" t="str">
        <f>HYPERLINK("http://141.218.60.56/~jnz1568/getInfo.php?workbook=16_14.xlsx&amp;sheet=U0&amp;row=92&amp;col=8&amp;number=4.6&amp;sourceID=51","4.6")</f>
        <v>4.6</v>
      </c>
      <c r="I92" s="4" t="str">
        <f>HYPERLINK("http://141.218.60.56/~jnz1568/getInfo.php?workbook=16_14.xlsx&amp;sheet=U0&amp;row=92&amp;col=9&amp;number=4.343&amp;sourceID=51","4.343")</f>
        <v>4.343</v>
      </c>
      <c r="J92" s="4" t="str">
        <f>HYPERLINK("http://141.218.60.56/~jnz1568/getInfo.php?workbook=16_14.xlsx&amp;sheet=U0&amp;row=92&amp;col=10&amp;number=4.114&amp;sourceID=52","4.114")</f>
        <v>4.114</v>
      </c>
      <c r="K92" s="4" t="str">
        <f>HYPERLINK("http://141.218.60.56/~jnz1568/getInfo.php?workbook=16_14.xlsx&amp;sheet=U0&amp;row=92&amp;col=11&amp;number=4.406&amp;sourceID=52","4.406")</f>
        <v>4.406</v>
      </c>
    </row>
    <row r="93" spans="1:11">
      <c r="A93" s="3"/>
      <c r="B93" s="3"/>
      <c r="C93" s="3"/>
      <c r="D93" s="3"/>
      <c r="E93" s="3">
        <v>10</v>
      </c>
      <c r="F93" s="4" t="str">
        <f>HYPERLINK("http://141.218.60.56/~jnz1568/getInfo.php?workbook=16_14.xlsx&amp;sheet=U0&amp;row=93&amp;col=6&amp;number=4.8&amp;sourceID=50","4.8")</f>
        <v>4.8</v>
      </c>
      <c r="G93" s="4" t="str">
        <f>HYPERLINK("http://141.218.60.56/~jnz1568/getInfo.php?workbook=16_14.xlsx&amp;sheet=U0&amp;row=93&amp;col=7&amp;number=4.01&amp;sourceID=50","4.01")</f>
        <v>4.01</v>
      </c>
      <c r="H93" s="4" t="str">
        <f>HYPERLINK("http://141.218.60.56/~jnz1568/getInfo.php?workbook=16_14.xlsx&amp;sheet=U0&amp;row=93&amp;col=8&amp;number=4.8&amp;sourceID=51","4.8")</f>
        <v>4.8</v>
      </c>
      <c r="I93" s="4" t="str">
        <f>HYPERLINK("http://141.218.60.56/~jnz1568/getInfo.php?workbook=16_14.xlsx&amp;sheet=U0&amp;row=93&amp;col=9&amp;number=4.07&amp;sourceID=51","4.07")</f>
        <v>4.07</v>
      </c>
      <c r="J93" s="4" t="str">
        <f>HYPERLINK("http://141.218.60.56/~jnz1568/getInfo.php?workbook=16_14.xlsx&amp;sheet=U0&amp;row=93&amp;col=10&amp;number=4.146&amp;sourceID=52","4.146")</f>
        <v>4.146</v>
      </c>
      <c r="K93" s="4" t="str">
        <f>HYPERLINK("http://141.218.60.56/~jnz1568/getInfo.php?workbook=16_14.xlsx&amp;sheet=U0&amp;row=93&amp;col=11&amp;number=4.425&amp;sourceID=52","4.425")</f>
        <v>4.425</v>
      </c>
    </row>
    <row r="94" spans="1:11">
      <c r="A94" s="3"/>
      <c r="B94" s="3"/>
      <c r="C94" s="3"/>
      <c r="D94" s="3"/>
      <c r="E94" s="3">
        <v>11</v>
      </c>
      <c r="F94" s="4" t="str">
        <f>HYPERLINK("http://141.218.60.56/~jnz1568/getInfo.php?workbook=16_14.xlsx&amp;sheet=U0&amp;row=94&amp;col=6&amp;number=5&amp;sourceID=50","5")</f>
        <v>5</v>
      </c>
      <c r="G94" s="4" t="str">
        <f>HYPERLINK("http://141.218.60.56/~jnz1568/getInfo.php?workbook=16_14.xlsx&amp;sheet=U0&amp;row=94&amp;col=7&amp;number=3.55&amp;sourceID=50","3.55")</f>
        <v>3.55</v>
      </c>
      <c r="H94" s="4" t="str">
        <f>HYPERLINK("http://141.218.60.56/~jnz1568/getInfo.php?workbook=16_14.xlsx&amp;sheet=U0&amp;row=94&amp;col=8&amp;number=5&amp;sourceID=51","5")</f>
        <v>5</v>
      </c>
      <c r="I94" s="4" t="str">
        <f>HYPERLINK("http://141.218.60.56/~jnz1568/getInfo.php?workbook=16_14.xlsx&amp;sheet=U0&amp;row=94&amp;col=9&amp;number=3.596&amp;sourceID=51","3.596")</f>
        <v>3.596</v>
      </c>
      <c r="J94" s="4" t="str">
        <f>HYPERLINK("http://141.218.60.56/~jnz1568/getInfo.php?workbook=16_14.xlsx&amp;sheet=U0&amp;row=94&amp;col=10&amp;number=4.176&amp;sourceID=52","4.176")</f>
        <v>4.176</v>
      </c>
      <c r="K94" s="4" t="str">
        <f>HYPERLINK("http://141.218.60.56/~jnz1568/getInfo.php?workbook=16_14.xlsx&amp;sheet=U0&amp;row=94&amp;col=11&amp;number=4.443&amp;sourceID=52","4.443")</f>
        <v>4.443</v>
      </c>
    </row>
    <row r="95" spans="1:11">
      <c r="A95" s="3"/>
      <c r="B95" s="3"/>
      <c r="C95" s="3"/>
      <c r="D95" s="3"/>
      <c r="E95" s="3">
        <v>12</v>
      </c>
      <c r="F95" s="4" t="str">
        <f>HYPERLINK("http://141.218.60.56/~jnz1568/getInfo.php?workbook=16_14.xlsx&amp;sheet=U0&amp;row=95&amp;col=6&amp;number=5.2&amp;sourceID=50","5.2")</f>
        <v>5.2</v>
      </c>
      <c r="G95" s="4" t="str">
        <f>HYPERLINK("http://141.218.60.56/~jnz1568/getInfo.php?workbook=16_14.xlsx&amp;sheet=U0&amp;row=95&amp;col=7&amp;number=2.95&amp;sourceID=50","2.95")</f>
        <v>2.95</v>
      </c>
      <c r="H95" s="4" t="str">
        <f>HYPERLINK("http://141.218.60.56/~jnz1568/getInfo.php?workbook=16_14.xlsx&amp;sheet=U0&amp;row=95&amp;col=8&amp;number=&amp;sourceID=51","")</f>
        <v/>
      </c>
      <c r="I95" s="4" t="str">
        <f>HYPERLINK("http://141.218.60.56/~jnz1568/getInfo.php?workbook=16_14.xlsx&amp;sheet=U0&amp;row=95&amp;col=9&amp;number=&amp;sourceID=51","")</f>
        <v/>
      </c>
      <c r="J95" s="4" t="str">
        <f>HYPERLINK("http://141.218.60.56/~jnz1568/getInfo.php?workbook=16_14.xlsx&amp;sheet=U0&amp;row=95&amp;col=10&amp;number=4.204&amp;sourceID=52","4.204")</f>
        <v>4.204</v>
      </c>
      <c r="K95" s="4" t="str">
        <f>HYPERLINK("http://141.218.60.56/~jnz1568/getInfo.php?workbook=16_14.xlsx&amp;sheet=U0&amp;row=95&amp;col=11&amp;number=4.458&amp;sourceID=52","4.458")</f>
        <v>4.458</v>
      </c>
    </row>
    <row r="96" spans="1:11">
      <c r="A96" s="3"/>
      <c r="B96" s="3"/>
      <c r="C96" s="3"/>
      <c r="D96" s="3"/>
      <c r="E96" s="3">
        <v>13</v>
      </c>
      <c r="F96" s="4" t="str">
        <f>HYPERLINK("http://141.218.60.56/~jnz1568/getInfo.php?workbook=16_14.xlsx&amp;sheet=U0&amp;row=96&amp;col=6&amp;number=5.4&amp;sourceID=50","5.4")</f>
        <v>5.4</v>
      </c>
      <c r="G96" s="4" t="str">
        <f>HYPERLINK("http://141.218.60.56/~jnz1568/getInfo.php?workbook=16_14.xlsx&amp;sheet=U0&amp;row=96&amp;col=7&amp;number=2.32&amp;sourceID=50","2.32")</f>
        <v>2.32</v>
      </c>
      <c r="H96" s="4" t="str">
        <f>HYPERLINK("http://141.218.60.56/~jnz1568/getInfo.php?workbook=16_14.xlsx&amp;sheet=U0&amp;row=96&amp;col=8&amp;number=&amp;sourceID=51","")</f>
        <v/>
      </c>
      <c r="I96" s="4" t="str">
        <f>HYPERLINK("http://141.218.60.56/~jnz1568/getInfo.php?workbook=16_14.xlsx&amp;sheet=U0&amp;row=96&amp;col=9&amp;number=&amp;sourceID=51","")</f>
        <v/>
      </c>
      <c r="J96" s="4" t="str">
        <f>HYPERLINK("http://141.218.60.56/~jnz1568/getInfo.php?workbook=16_14.xlsx&amp;sheet=U0&amp;row=96&amp;col=10&amp;number=4.23&amp;sourceID=52","4.23")</f>
        <v>4.23</v>
      </c>
      <c r="K96" s="4" t="str">
        <f>HYPERLINK("http://141.218.60.56/~jnz1568/getInfo.php?workbook=16_14.xlsx&amp;sheet=U0&amp;row=96&amp;col=11&amp;number=4.472&amp;sourceID=52","4.472")</f>
        <v>4.472</v>
      </c>
    </row>
    <row r="97" spans="1:11">
      <c r="A97" s="3"/>
      <c r="B97" s="3"/>
      <c r="C97" s="3"/>
      <c r="D97" s="3"/>
      <c r="E97" s="3">
        <v>14</v>
      </c>
      <c r="F97" s="4" t="str">
        <f>HYPERLINK("http://141.218.60.56/~jnz1568/getInfo.php?workbook=16_14.xlsx&amp;sheet=U0&amp;row=97&amp;col=6&amp;number=5.6&amp;sourceID=50","5.6")</f>
        <v>5.6</v>
      </c>
      <c r="G97" s="4" t="str">
        <f>HYPERLINK("http://141.218.60.56/~jnz1568/getInfo.php?workbook=16_14.xlsx&amp;sheet=U0&amp;row=97&amp;col=7&amp;number=1.75&amp;sourceID=50","1.75")</f>
        <v>1.75</v>
      </c>
      <c r="H97" s="4" t="str">
        <f>HYPERLINK("http://141.218.60.56/~jnz1568/getInfo.php?workbook=16_14.xlsx&amp;sheet=U0&amp;row=97&amp;col=8&amp;number=&amp;sourceID=51","")</f>
        <v/>
      </c>
      <c r="I97" s="4" t="str">
        <f>HYPERLINK("http://141.218.60.56/~jnz1568/getInfo.php?workbook=16_14.xlsx&amp;sheet=U0&amp;row=97&amp;col=9&amp;number=&amp;sourceID=51","")</f>
        <v/>
      </c>
      <c r="J97" s="4" t="str">
        <f>HYPERLINK("http://141.218.60.56/~jnz1568/getInfo.php?workbook=16_14.xlsx&amp;sheet=U0&amp;row=97&amp;col=10&amp;number=4.255&amp;sourceID=52","4.255")</f>
        <v>4.255</v>
      </c>
      <c r="K97" s="4" t="str">
        <f>HYPERLINK("http://141.218.60.56/~jnz1568/getInfo.php?workbook=16_14.xlsx&amp;sheet=U0&amp;row=97&amp;col=11&amp;number=4.483&amp;sourceID=52","4.483")</f>
        <v>4.483</v>
      </c>
    </row>
    <row r="98" spans="1:11">
      <c r="A98" s="3"/>
      <c r="B98" s="3"/>
      <c r="C98" s="3"/>
      <c r="D98" s="3"/>
      <c r="E98" s="3">
        <v>15</v>
      </c>
      <c r="F98" s="4" t="str">
        <f>HYPERLINK("http://141.218.60.56/~jnz1568/getInfo.php?workbook=16_14.xlsx&amp;sheet=U0&amp;row=98&amp;col=6&amp;number=5.8&amp;sourceID=50","5.8")</f>
        <v>5.8</v>
      </c>
      <c r="G98" s="4" t="str">
        <f>HYPERLINK("http://141.218.60.56/~jnz1568/getInfo.php?workbook=16_14.xlsx&amp;sheet=U0&amp;row=98&amp;col=7&amp;number=1.27&amp;sourceID=50","1.27")</f>
        <v>1.27</v>
      </c>
      <c r="H98" s="4" t="str">
        <f>HYPERLINK("http://141.218.60.56/~jnz1568/getInfo.php?workbook=16_14.xlsx&amp;sheet=U0&amp;row=98&amp;col=8&amp;number=&amp;sourceID=51","")</f>
        <v/>
      </c>
      <c r="I98" s="4" t="str">
        <f>HYPERLINK("http://141.218.60.56/~jnz1568/getInfo.php?workbook=16_14.xlsx&amp;sheet=U0&amp;row=98&amp;col=9&amp;number=&amp;sourceID=51","")</f>
        <v/>
      </c>
      <c r="J98" s="4" t="str">
        <f>HYPERLINK("http://141.218.60.56/~jnz1568/getInfo.php?workbook=16_14.xlsx&amp;sheet=U0&amp;row=98&amp;col=10&amp;number=4.279&amp;sourceID=52","4.279")</f>
        <v>4.279</v>
      </c>
      <c r="K98" s="4" t="str">
        <f>HYPERLINK("http://141.218.60.56/~jnz1568/getInfo.php?workbook=16_14.xlsx&amp;sheet=U0&amp;row=98&amp;col=11&amp;number=4.492&amp;sourceID=52","4.492")</f>
        <v>4.492</v>
      </c>
    </row>
    <row r="99" spans="1:11">
      <c r="A99" s="3"/>
      <c r="B99" s="3"/>
      <c r="C99" s="3"/>
      <c r="D99" s="3"/>
      <c r="E99" s="3">
        <v>16</v>
      </c>
      <c r="F99" s="4" t="str">
        <f>HYPERLINK("http://141.218.60.56/~jnz1568/getInfo.php?workbook=16_14.xlsx&amp;sheet=U0&amp;row=99&amp;col=6&amp;number=6&amp;sourceID=50","6")</f>
        <v>6</v>
      </c>
      <c r="G99" s="4" t="str">
        <f>HYPERLINK("http://141.218.60.56/~jnz1568/getInfo.php?workbook=16_14.xlsx&amp;sheet=U0&amp;row=99&amp;col=7&amp;number=0.899&amp;sourceID=50","0.899")</f>
        <v>0.899</v>
      </c>
      <c r="H99" s="4" t="str">
        <f>HYPERLINK("http://141.218.60.56/~jnz1568/getInfo.php?workbook=16_14.xlsx&amp;sheet=U0&amp;row=99&amp;col=8&amp;number=&amp;sourceID=51","")</f>
        <v/>
      </c>
      <c r="I99" s="4" t="str">
        <f>HYPERLINK("http://141.218.60.56/~jnz1568/getInfo.php?workbook=16_14.xlsx&amp;sheet=U0&amp;row=99&amp;col=9&amp;number=&amp;sourceID=51","")</f>
        <v/>
      </c>
      <c r="J99" s="4" t="str">
        <f>HYPERLINK("http://141.218.60.56/~jnz1568/getInfo.php?workbook=16_14.xlsx&amp;sheet=U0&amp;row=99&amp;col=10&amp;number=4.301&amp;sourceID=52","4.301")</f>
        <v>4.301</v>
      </c>
      <c r="K99" s="4" t="str">
        <f>HYPERLINK("http://141.218.60.56/~jnz1568/getInfo.php?workbook=16_14.xlsx&amp;sheet=U0&amp;row=99&amp;col=11&amp;number=4.5&amp;sourceID=52","4.5")</f>
        <v>4.5</v>
      </c>
    </row>
    <row r="100" spans="1:11">
      <c r="A100" s="3">
        <v>16</v>
      </c>
      <c r="B100" s="3">
        <v>14</v>
      </c>
      <c r="C100" s="3">
        <v>5</v>
      </c>
      <c r="D100" s="3">
        <v>1</v>
      </c>
      <c r="E100" s="3">
        <v>1</v>
      </c>
      <c r="F100" s="4" t="str">
        <f>HYPERLINK("http://141.218.60.56/~jnz1568/getInfo.php?workbook=16_14.xlsx&amp;sheet=U0&amp;row=100&amp;col=6&amp;number=3&amp;sourceID=50","3")</f>
        <v>3</v>
      </c>
      <c r="G100" s="4" t="str">
        <f>HYPERLINK("http://141.218.60.56/~jnz1568/getInfo.php?workbook=16_14.xlsx&amp;sheet=U0&amp;row=100&amp;col=7&amp;number=0.0827&amp;sourceID=50","0.0827")</f>
        <v>0.0827</v>
      </c>
      <c r="H100" s="4" t="str">
        <f>HYPERLINK("http://141.218.60.56/~jnz1568/getInfo.php?workbook=16_14.xlsx&amp;sheet=U0&amp;row=100&amp;col=8&amp;number=3&amp;sourceID=51","3")</f>
        <v>3</v>
      </c>
      <c r="I100" s="4" t="str">
        <f>HYPERLINK("http://141.218.60.56/~jnz1568/getInfo.php?workbook=16_14.xlsx&amp;sheet=U0&amp;row=100&amp;col=9&amp;number=0.1389&amp;sourceID=51","0.1389")</f>
        <v>0.1389</v>
      </c>
      <c r="J100" s="4" t="str">
        <f>HYPERLINK("http://141.218.60.56/~jnz1568/getInfo.php?workbook=16_14.xlsx&amp;sheet=U0&amp;row=100&amp;col=10&amp;number=3.699&amp;sourceID=52","3.699")</f>
        <v>3.699</v>
      </c>
      <c r="K100" s="4" t="str">
        <f>HYPERLINK("http://141.218.60.56/~jnz1568/getInfo.php?workbook=16_14.xlsx&amp;sheet=U0&amp;row=100&amp;col=11&amp;number=0.1453&amp;sourceID=52","0.1453")</f>
        <v>0.1453</v>
      </c>
    </row>
    <row r="101" spans="1:11">
      <c r="A101" s="3"/>
      <c r="B101" s="3"/>
      <c r="C101" s="3"/>
      <c r="D101" s="3"/>
      <c r="E101" s="3">
        <v>2</v>
      </c>
      <c r="F101" s="4" t="str">
        <f>HYPERLINK("http://141.218.60.56/~jnz1568/getInfo.php?workbook=16_14.xlsx&amp;sheet=U0&amp;row=101&amp;col=6&amp;number=3.2&amp;sourceID=50","3.2")</f>
        <v>3.2</v>
      </c>
      <c r="G101" s="4" t="str">
        <f>HYPERLINK("http://141.218.60.56/~jnz1568/getInfo.php?workbook=16_14.xlsx&amp;sheet=U0&amp;row=101&amp;col=7&amp;number=0.0889&amp;sourceID=50","0.0889")</f>
        <v>0.0889</v>
      </c>
      <c r="H101" s="4" t="str">
        <f>HYPERLINK("http://141.218.60.56/~jnz1568/getInfo.php?workbook=16_14.xlsx&amp;sheet=U0&amp;row=101&amp;col=8&amp;number=3.2&amp;sourceID=51","3.2")</f>
        <v>3.2</v>
      </c>
      <c r="I101" s="4" t="str">
        <f>HYPERLINK("http://141.218.60.56/~jnz1568/getInfo.php?workbook=16_14.xlsx&amp;sheet=U0&amp;row=101&amp;col=9&amp;number=0.1354&amp;sourceID=51","0.1354")</f>
        <v>0.1354</v>
      </c>
      <c r="J101" s="4" t="str">
        <f>HYPERLINK("http://141.218.60.56/~jnz1568/getInfo.php?workbook=16_14.xlsx&amp;sheet=U0&amp;row=101&amp;col=10&amp;number=3.778&amp;sourceID=52","3.778")</f>
        <v>3.778</v>
      </c>
      <c r="K101" s="4" t="str">
        <f>HYPERLINK("http://141.218.60.56/~jnz1568/getInfo.php?workbook=16_14.xlsx&amp;sheet=U0&amp;row=101&amp;col=11&amp;number=0.1498&amp;sourceID=52","0.1498")</f>
        <v>0.1498</v>
      </c>
    </row>
    <row r="102" spans="1:11">
      <c r="A102" s="3"/>
      <c r="B102" s="3"/>
      <c r="C102" s="3"/>
      <c r="D102" s="3"/>
      <c r="E102" s="3">
        <v>3</v>
      </c>
      <c r="F102" s="4" t="str">
        <f>HYPERLINK("http://141.218.60.56/~jnz1568/getInfo.php?workbook=16_14.xlsx&amp;sheet=U0&amp;row=102&amp;col=6&amp;number=3.4&amp;sourceID=50","3.4")</f>
        <v>3.4</v>
      </c>
      <c r="G102" s="4" t="str">
        <f>HYPERLINK("http://141.218.60.56/~jnz1568/getInfo.php?workbook=16_14.xlsx&amp;sheet=U0&amp;row=102&amp;col=7&amp;number=0.0958&amp;sourceID=50","0.0958")</f>
        <v>0.0958</v>
      </c>
      <c r="H102" s="4" t="str">
        <f>HYPERLINK("http://141.218.60.56/~jnz1568/getInfo.php?workbook=16_14.xlsx&amp;sheet=U0&amp;row=102&amp;col=8&amp;number=3.4&amp;sourceID=51","3.4")</f>
        <v>3.4</v>
      </c>
      <c r="I102" s="4" t="str">
        <f>HYPERLINK("http://141.218.60.56/~jnz1568/getInfo.php?workbook=16_14.xlsx&amp;sheet=U0&amp;row=102&amp;col=9&amp;number=0.1294&amp;sourceID=51","0.1294")</f>
        <v>0.1294</v>
      </c>
      <c r="J102" s="4" t="str">
        <f>HYPERLINK("http://141.218.60.56/~jnz1568/getInfo.php?workbook=16_14.xlsx&amp;sheet=U0&amp;row=102&amp;col=10&amp;number=3.845&amp;sourceID=52","3.845")</f>
        <v>3.845</v>
      </c>
      <c r="K102" s="4" t="str">
        <f>HYPERLINK("http://141.218.60.56/~jnz1568/getInfo.php?workbook=16_14.xlsx&amp;sheet=U0&amp;row=102&amp;col=11&amp;number=0.1532&amp;sourceID=52","0.1532")</f>
        <v>0.1532</v>
      </c>
    </row>
    <row r="103" spans="1:11">
      <c r="A103" s="3"/>
      <c r="B103" s="3"/>
      <c r="C103" s="3"/>
      <c r="D103" s="3"/>
      <c r="E103" s="3">
        <v>4</v>
      </c>
      <c r="F103" s="4" t="str">
        <f>HYPERLINK("http://141.218.60.56/~jnz1568/getInfo.php?workbook=16_14.xlsx&amp;sheet=U0&amp;row=103&amp;col=6&amp;number=3.6&amp;sourceID=50","3.6")</f>
        <v>3.6</v>
      </c>
      <c r="G103" s="4" t="str">
        <f>HYPERLINK("http://141.218.60.56/~jnz1568/getInfo.php?workbook=16_14.xlsx&amp;sheet=U0&amp;row=103&amp;col=7&amp;number=0.104&amp;sourceID=50","0.104")</f>
        <v>0.104</v>
      </c>
      <c r="H103" s="4" t="str">
        <f>HYPERLINK("http://141.218.60.56/~jnz1568/getInfo.php?workbook=16_14.xlsx&amp;sheet=U0&amp;row=103&amp;col=8&amp;number=3.6&amp;sourceID=51","3.6")</f>
        <v>3.6</v>
      </c>
      <c r="I103" s="4" t="str">
        <f>HYPERLINK("http://141.218.60.56/~jnz1568/getInfo.php?workbook=16_14.xlsx&amp;sheet=U0&amp;row=103&amp;col=9&amp;number=0.1242&amp;sourceID=51","0.1242")</f>
        <v>0.1242</v>
      </c>
      <c r="J103" s="4" t="str">
        <f>HYPERLINK("http://141.218.60.56/~jnz1568/getInfo.php?workbook=16_14.xlsx&amp;sheet=U0&amp;row=103&amp;col=10&amp;number=3.903&amp;sourceID=52","3.903")</f>
        <v>3.903</v>
      </c>
      <c r="K103" s="4" t="str">
        <f>HYPERLINK("http://141.218.60.56/~jnz1568/getInfo.php?workbook=16_14.xlsx&amp;sheet=U0&amp;row=103&amp;col=11&amp;number=0.1558&amp;sourceID=52","0.1558")</f>
        <v>0.1558</v>
      </c>
    </row>
    <row r="104" spans="1:11">
      <c r="A104" s="3"/>
      <c r="B104" s="3"/>
      <c r="C104" s="3"/>
      <c r="D104" s="3"/>
      <c r="E104" s="3">
        <v>5</v>
      </c>
      <c r="F104" s="4" t="str">
        <f>HYPERLINK("http://141.218.60.56/~jnz1568/getInfo.php?workbook=16_14.xlsx&amp;sheet=U0&amp;row=104&amp;col=6&amp;number=3.8&amp;sourceID=50","3.8")</f>
        <v>3.8</v>
      </c>
      <c r="G104" s="4" t="str">
        <f>HYPERLINK("http://141.218.60.56/~jnz1568/getInfo.php?workbook=16_14.xlsx&amp;sheet=U0&amp;row=104&amp;col=7&amp;number=0.114&amp;sourceID=50","0.114")</f>
        <v>0.114</v>
      </c>
      <c r="H104" s="4" t="str">
        <f>HYPERLINK("http://141.218.60.56/~jnz1568/getInfo.php?workbook=16_14.xlsx&amp;sheet=U0&amp;row=104&amp;col=8&amp;number=3.8&amp;sourceID=51","3.8")</f>
        <v>3.8</v>
      </c>
      <c r="I104" s="4" t="str">
        <f>HYPERLINK("http://141.218.60.56/~jnz1568/getInfo.php?workbook=16_14.xlsx&amp;sheet=U0&amp;row=104&amp;col=9&amp;number=0.1219&amp;sourceID=51","0.1219")</f>
        <v>0.1219</v>
      </c>
      <c r="J104" s="4" t="str">
        <f>HYPERLINK("http://141.218.60.56/~jnz1568/getInfo.php?workbook=16_14.xlsx&amp;sheet=U0&amp;row=104&amp;col=10&amp;number=3.954&amp;sourceID=52","3.954")</f>
        <v>3.954</v>
      </c>
      <c r="K104" s="4" t="str">
        <f>HYPERLINK("http://141.218.60.56/~jnz1568/getInfo.php?workbook=16_14.xlsx&amp;sheet=U0&amp;row=104&amp;col=11&amp;number=0.1577&amp;sourceID=52","0.1577")</f>
        <v>0.1577</v>
      </c>
    </row>
    <row r="105" spans="1:11">
      <c r="A105" s="3"/>
      <c r="B105" s="3"/>
      <c r="C105" s="3"/>
      <c r="D105" s="3"/>
      <c r="E105" s="3">
        <v>6</v>
      </c>
      <c r="F105" s="4" t="str">
        <f>HYPERLINK("http://141.218.60.56/~jnz1568/getInfo.php?workbook=16_14.xlsx&amp;sheet=U0&amp;row=105&amp;col=6&amp;number=4&amp;sourceID=50","4")</f>
        <v>4</v>
      </c>
      <c r="G105" s="4" t="str">
        <f>HYPERLINK("http://141.218.60.56/~jnz1568/getInfo.php?workbook=16_14.xlsx&amp;sheet=U0&amp;row=105&amp;col=7&amp;number=0.125&amp;sourceID=50","0.125")</f>
        <v>0.125</v>
      </c>
      <c r="H105" s="4" t="str">
        <f>HYPERLINK("http://141.218.60.56/~jnz1568/getInfo.php?workbook=16_14.xlsx&amp;sheet=U0&amp;row=105&amp;col=8&amp;number=4&amp;sourceID=51","4")</f>
        <v>4</v>
      </c>
      <c r="I105" s="4" t="str">
        <f>HYPERLINK("http://141.218.60.56/~jnz1568/getInfo.php?workbook=16_14.xlsx&amp;sheet=U0&amp;row=105&amp;col=9&amp;number=0.1219&amp;sourceID=51","0.1219")</f>
        <v>0.1219</v>
      </c>
      <c r="J105" s="4" t="str">
        <f>HYPERLINK("http://141.218.60.56/~jnz1568/getInfo.php?workbook=16_14.xlsx&amp;sheet=U0&amp;row=105&amp;col=10&amp;number=4&amp;sourceID=52","4")</f>
        <v>4</v>
      </c>
      <c r="K105" s="4" t="str">
        <f>HYPERLINK("http://141.218.60.56/~jnz1568/getInfo.php?workbook=16_14.xlsx&amp;sheet=U0&amp;row=105&amp;col=11&amp;number=0.1591&amp;sourceID=52","0.1591")</f>
        <v>0.1591</v>
      </c>
    </row>
    <row r="106" spans="1:11">
      <c r="A106" s="3"/>
      <c r="B106" s="3"/>
      <c r="C106" s="3"/>
      <c r="D106" s="3"/>
      <c r="E106" s="3">
        <v>7</v>
      </c>
      <c r="F106" s="4" t="str">
        <f>HYPERLINK("http://141.218.60.56/~jnz1568/getInfo.php?workbook=16_14.xlsx&amp;sheet=U0&amp;row=106&amp;col=6&amp;number=4.2&amp;sourceID=50","4.2")</f>
        <v>4.2</v>
      </c>
      <c r="G106" s="4" t="str">
        <f>HYPERLINK("http://141.218.60.56/~jnz1568/getInfo.php?workbook=16_14.xlsx&amp;sheet=U0&amp;row=106&amp;col=7&amp;number=0.138&amp;sourceID=50","0.138")</f>
        <v>0.138</v>
      </c>
      <c r="H106" s="4" t="str">
        <f>HYPERLINK("http://141.218.60.56/~jnz1568/getInfo.php?workbook=16_14.xlsx&amp;sheet=U0&amp;row=106&amp;col=8&amp;number=4.2&amp;sourceID=51","4.2")</f>
        <v>4.2</v>
      </c>
      <c r="I106" s="4" t="str">
        <f>HYPERLINK("http://141.218.60.56/~jnz1568/getInfo.php?workbook=16_14.xlsx&amp;sheet=U0&amp;row=106&amp;col=9&amp;number=0.1248&amp;sourceID=51","0.1248")</f>
        <v>0.1248</v>
      </c>
      <c r="J106" s="4" t="str">
        <f>HYPERLINK("http://141.218.60.56/~jnz1568/getInfo.php?workbook=16_14.xlsx&amp;sheet=U0&amp;row=106&amp;col=10&amp;number=4.041&amp;sourceID=52","4.041")</f>
        <v>4.041</v>
      </c>
      <c r="K106" s="4" t="str">
        <f>HYPERLINK("http://141.218.60.56/~jnz1568/getInfo.php?workbook=16_14.xlsx&amp;sheet=U0&amp;row=106&amp;col=11&amp;number=0.1602&amp;sourceID=52","0.1602")</f>
        <v>0.1602</v>
      </c>
    </row>
    <row r="107" spans="1:11">
      <c r="A107" s="3"/>
      <c r="B107" s="3"/>
      <c r="C107" s="3"/>
      <c r="D107" s="3"/>
      <c r="E107" s="3">
        <v>8</v>
      </c>
      <c r="F107" s="4" t="str">
        <f>HYPERLINK("http://141.218.60.56/~jnz1568/getInfo.php?workbook=16_14.xlsx&amp;sheet=U0&amp;row=107&amp;col=6&amp;number=4.4&amp;sourceID=50","4.4")</f>
        <v>4.4</v>
      </c>
      <c r="G107" s="4" t="str">
        <f>HYPERLINK("http://141.218.60.56/~jnz1568/getInfo.php?workbook=16_14.xlsx&amp;sheet=U0&amp;row=107&amp;col=7&amp;number=0.154&amp;sourceID=50","0.154")</f>
        <v>0.154</v>
      </c>
      <c r="H107" s="4" t="str">
        <f>HYPERLINK("http://141.218.60.56/~jnz1568/getInfo.php?workbook=16_14.xlsx&amp;sheet=U0&amp;row=107&amp;col=8&amp;number=4.4&amp;sourceID=51","4.4")</f>
        <v>4.4</v>
      </c>
      <c r="I107" s="4" t="str">
        <f>HYPERLINK("http://141.218.60.56/~jnz1568/getInfo.php?workbook=16_14.xlsx&amp;sheet=U0&amp;row=107&amp;col=9&amp;number=0.132&amp;sourceID=51","0.132")</f>
        <v>0.132</v>
      </c>
      <c r="J107" s="4" t="str">
        <f>HYPERLINK("http://141.218.60.56/~jnz1568/getInfo.php?workbook=16_14.xlsx&amp;sheet=U0&amp;row=107&amp;col=10&amp;number=4.079&amp;sourceID=52","4.079")</f>
        <v>4.079</v>
      </c>
      <c r="K107" s="4" t="str">
        <f>HYPERLINK("http://141.218.60.56/~jnz1568/getInfo.php?workbook=16_14.xlsx&amp;sheet=U0&amp;row=107&amp;col=11&amp;number=0.161&amp;sourceID=52","0.161")</f>
        <v>0.161</v>
      </c>
    </row>
    <row r="108" spans="1:11">
      <c r="A108" s="3"/>
      <c r="B108" s="3"/>
      <c r="C108" s="3"/>
      <c r="D108" s="3"/>
      <c r="E108" s="3">
        <v>9</v>
      </c>
      <c r="F108" s="4" t="str">
        <f>HYPERLINK("http://141.218.60.56/~jnz1568/getInfo.php?workbook=16_14.xlsx&amp;sheet=U0&amp;row=108&amp;col=6&amp;number=4.6&amp;sourceID=50","4.6")</f>
        <v>4.6</v>
      </c>
      <c r="G108" s="4" t="str">
        <f>HYPERLINK("http://141.218.60.56/~jnz1568/getInfo.php?workbook=16_14.xlsx&amp;sheet=U0&amp;row=108&amp;col=7&amp;number=0.171&amp;sourceID=50","0.171")</f>
        <v>0.171</v>
      </c>
      <c r="H108" s="4" t="str">
        <f>HYPERLINK("http://141.218.60.56/~jnz1568/getInfo.php?workbook=16_14.xlsx&amp;sheet=U0&amp;row=108&amp;col=8&amp;number=4.6&amp;sourceID=51","4.6")</f>
        <v>4.6</v>
      </c>
      <c r="I108" s="4" t="str">
        <f>HYPERLINK("http://141.218.60.56/~jnz1568/getInfo.php?workbook=16_14.xlsx&amp;sheet=U0&amp;row=108&amp;col=9&amp;number=0.1397&amp;sourceID=51","0.1397")</f>
        <v>0.1397</v>
      </c>
      <c r="J108" s="4" t="str">
        <f>HYPERLINK("http://141.218.60.56/~jnz1568/getInfo.php?workbook=16_14.xlsx&amp;sheet=U0&amp;row=108&amp;col=10&amp;number=4.114&amp;sourceID=52","4.114")</f>
        <v>4.114</v>
      </c>
      <c r="K108" s="4" t="str">
        <f>HYPERLINK("http://141.218.60.56/~jnz1568/getInfo.php?workbook=16_14.xlsx&amp;sheet=U0&amp;row=108&amp;col=11&amp;number=0.1617&amp;sourceID=52","0.1617")</f>
        <v>0.1617</v>
      </c>
    </row>
    <row r="109" spans="1:11">
      <c r="A109" s="3"/>
      <c r="B109" s="3"/>
      <c r="C109" s="3"/>
      <c r="D109" s="3"/>
      <c r="E109" s="3">
        <v>10</v>
      </c>
      <c r="F109" s="4" t="str">
        <f>HYPERLINK("http://141.218.60.56/~jnz1568/getInfo.php?workbook=16_14.xlsx&amp;sheet=U0&amp;row=109&amp;col=6&amp;number=4.8&amp;sourceID=50","4.8")</f>
        <v>4.8</v>
      </c>
      <c r="G109" s="4" t="str">
        <f>HYPERLINK("http://141.218.60.56/~jnz1568/getInfo.php?workbook=16_14.xlsx&amp;sheet=U0&amp;row=109&amp;col=7&amp;number=0.178&amp;sourceID=50","0.178")</f>
        <v>0.178</v>
      </c>
      <c r="H109" s="4" t="str">
        <f>HYPERLINK("http://141.218.60.56/~jnz1568/getInfo.php?workbook=16_14.xlsx&amp;sheet=U0&amp;row=109&amp;col=8&amp;number=4.8&amp;sourceID=51","4.8")</f>
        <v>4.8</v>
      </c>
      <c r="I109" s="4" t="str">
        <f>HYPERLINK("http://141.218.60.56/~jnz1568/getInfo.php?workbook=16_14.xlsx&amp;sheet=U0&amp;row=109&amp;col=9&amp;number=0.1395&amp;sourceID=51","0.1395")</f>
        <v>0.1395</v>
      </c>
      <c r="J109" s="4" t="str">
        <f>HYPERLINK("http://141.218.60.56/~jnz1568/getInfo.php?workbook=16_14.xlsx&amp;sheet=U0&amp;row=109&amp;col=10&amp;number=4.146&amp;sourceID=52","4.146")</f>
        <v>4.146</v>
      </c>
      <c r="K109" s="4" t="str">
        <f>HYPERLINK("http://141.218.60.56/~jnz1568/getInfo.php?workbook=16_14.xlsx&amp;sheet=U0&amp;row=109&amp;col=11&amp;number=0.1622&amp;sourceID=52","0.1622")</f>
        <v>0.1622</v>
      </c>
    </row>
    <row r="110" spans="1:11">
      <c r="A110" s="3"/>
      <c r="B110" s="3"/>
      <c r="C110" s="3"/>
      <c r="D110" s="3"/>
      <c r="E110" s="3">
        <v>11</v>
      </c>
      <c r="F110" s="4" t="str">
        <f>HYPERLINK("http://141.218.60.56/~jnz1568/getInfo.php?workbook=16_14.xlsx&amp;sheet=U0&amp;row=110&amp;col=6&amp;number=5&amp;sourceID=50","5")</f>
        <v>5</v>
      </c>
      <c r="G110" s="4" t="str">
        <f>HYPERLINK("http://141.218.60.56/~jnz1568/getInfo.php?workbook=16_14.xlsx&amp;sheet=U0&amp;row=110&amp;col=7&amp;number=0.172&amp;sourceID=50","0.172")</f>
        <v>0.172</v>
      </c>
      <c r="H110" s="4" t="str">
        <f>HYPERLINK("http://141.218.60.56/~jnz1568/getInfo.php?workbook=16_14.xlsx&amp;sheet=U0&amp;row=110&amp;col=8&amp;number=5&amp;sourceID=51","5")</f>
        <v>5</v>
      </c>
      <c r="I110" s="4" t="str">
        <f>HYPERLINK("http://141.218.60.56/~jnz1568/getInfo.php?workbook=16_14.xlsx&amp;sheet=U0&amp;row=110&amp;col=9&amp;number=0.1272&amp;sourceID=51","0.1272")</f>
        <v>0.1272</v>
      </c>
      <c r="J110" s="4" t="str">
        <f>HYPERLINK("http://141.218.60.56/~jnz1568/getInfo.php?workbook=16_14.xlsx&amp;sheet=U0&amp;row=110&amp;col=10&amp;number=4.176&amp;sourceID=52","4.176")</f>
        <v>4.176</v>
      </c>
      <c r="K110" s="4" t="str">
        <f>HYPERLINK("http://141.218.60.56/~jnz1568/getInfo.php?workbook=16_14.xlsx&amp;sheet=U0&amp;row=110&amp;col=11&amp;number=0.1626&amp;sourceID=52","0.1626")</f>
        <v>0.1626</v>
      </c>
    </row>
    <row r="111" spans="1:11">
      <c r="A111" s="3"/>
      <c r="B111" s="3"/>
      <c r="C111" s="3"/>
      <c r="D111" s="3"/>
      <c r="E111" s="3">
        <v>12</v>
      </c>
      <c r="F111" s="4" t="str">
        <f>HYPERLINK("http://141.218.60.56/~jnz1568/getInfo.php?workbook=16_14.xlsx&amp;sheet=U0&amp;row=111&amp;col=6&amp;number=5.2&amp;sourceID=50","5.2")</f>
        <v>5.2</v>
      </c>
      <c r="G111" s="4" t="str">
        <f>HYPERLINK("http://141.218.60.56/~jnz1568/getInfo.php?workbook=16_14.xlsx&amp;sheet=U0&amp;row=111&amp;col=7&amp;number=0.155&amp;sourceID=50","0.155")</f>
        <v>0.155</v>
      </c>
      <c r="H111" s="4" t="str">
        <f>HYPERLINK("http://141.218.60.56/~jnz1568/getInfo.php?workbook=16_14.xlsx&amp;sheet=U0&amp;row=111&amp;col=8&amp;number=&amp;sourceID=51","")</f>
        <v/>
      </c>
      <c r="I111" s="4" t="str">
        <f>HYPERLINK("http://141.218.60.56/~jnz1568/getInfo.php?workbook=16_14.xlsx&amp;sheet=U0&amp;row=111&amp;col=9&amp;number=&amp;sourceID=51","")</f>
        <v/>
      </c>
      <c r="J111" s="4" t="str">
        <f>HYPERLINK("http://141.218.60.56/~jnz1568/getInfo.php?workbook=16_14.xlsx&amp;sheet=U0&amp;row=111&amp;col=10&amp;number=4.204&amp;sourceID=52","4.204")</f>
        <v>4.204</v>
      </c>
      <c r="K111" s="4" t="str">
        <f>HYPERLINK("http://141.218.60.56/~jnz1568/getInfo.php?workbook=16_14.xlsx&amp;sheet=U0&amp;row=111&amp;col=11&amp;number=0.163&amp;sourceID=52","0.163")</f>
        <v>0.163</v>
      </c>
    </row>
    <row r="112" spans="1:11">
      <c r="A112" s="3"/>
      <c r="B112" s="3"/>
      <c r="C112" s="3"/>
      <c r="D112" s="3"/>
      <c r="E112" s="3">
        <v>13</v>
      </c>
      <c r="F112" s="4" t="str">
        <f>HYPERLINK("http://141.218.60.56/~jnz1568/getInfo.php?workbook=16_14.xlsx&amp;sheet=U0&amp;row=112&amp;col=6&amp;number=5.4&amp;sourceID=50","5.4")</f>
        <v>5.4</v>
      </c>
      <c r="G112" s="4" t="str">
        <f>HYPERLINK("http://141.218.60.56/~jnz1568/getInfo.php?workbook=16_14.xlsx&amp;sheet=U0&amp;row=112&amp;col=7&amp;number=0.132&amp;sourceID=50","0.132")</f>
        <v>0.132</v>
      </c>
      <c r="H112" s="4" t="str">
        <f>HYPERLINK("http://141.218.60.56/~jnz1568/getInfo.php?workbook=16_14.xlsx&amp;sheet=U0&amp;row=112&amp;col=8&amp;number=&amp;sourceID=51","")</f>
        <v/>
      </c>
      <c r="I112" s="4" t="str">
        <f>HYPERLINK("http://141.218.60.56/~jnz1568/getInfo.php?workbook=16_14.xlsx&amp;sheet=U0&amp;row=112&amp;col=9&amp;number=&amp;sourceID=51","")</f>
        <v/>
      </c>
      <c r="J112" s="4" t="str">
        <f>HYPERLINK("http://141.218.60.56/~jnz1568/getInfo.php?workbook=16_14.xlsx&amp;sheet=U0&amp;row=112&amp;col=10&amp;number=4.23&amp;sourceID=52","4.23")</f>
        <v>4.23</v>
      </c>
      <c r="K112" s="4" t="str">
        <f>HYPERLINK("http://141.218.60.56/~jnz1568/getInfo.php?workbook=16_14.xlsx&amp;sheet=U0&amp;row=112&amp;col=11&amp;number=0.1633&amp;sourceID=52","0.1633")</f>
        <v>0.1633</v>
      </c>
    </row>
    <row r="113" spans="1:11">
      <c r="A113" s="3"/>
      <c r="B113" s="3"/>
      <c r="C113" s="3"/>
      <c r="D113" s="3"/>
      <c r="E113" s="3">
        <v>14</v>
      </c>
      <c r="F113" s="4" t="str">
        <f>HYPERLINK("http://141.218.60.56/~jnz1568/getInfo.php?workbook=16_14.xlsx&amp;sheet=U0&amp;row=113&amp;col=6&amp;number=5.6&amp;sourceID=50","5.6")</f>
        <v>5.6</v>
      </c>
      <c r="G113" s="4" t="str">
        <f>HYPERLINK("http://141.218.60.56/~jnz1568/getInfo.php?workbook=16_14.xlsx&amp;sheet=U0&amp;row=113&amp;col=7&amp;number=0.109&amp;sourceID=50","0.109")</f>
        <v>0.109</v>
      </c>
      <c r="H113" s="4" t="str">
        <f>HYPERLINK("http://141.218.60.56/~jnz1568/getInfo.php?workbook=16_14.xlsx&amp;sheet=U0&amp;row=113&amp;col=8&amp;number=&amp;sourceID=51","")</f>
        <v/>
      </c>
      <c r="I113" s="4" t="str">
        <f>HYPERLINK("http://141.218.60.56/~jnz1568/getInfo.php?workbook=16_14.xlsx&amp;sheet=U0&amp;row=113&amp;col=9&amp;number=&amp;sourceID=51","")</f>
        <v/>
      </c>
      <c r="J113" s="4" t="str">
        <f>HYPERLINK("http://141.218.60.56/~jnz1568/getInfo.php?workbook=16_14.xlsx&amp;sheet=U0&amp;row=113&amp;col=10&amp;number=4.255&amp;sourceID=52","4.255")</f>
        <v>4.255</v>
      </c>
      <c r="K113" s="4" t="str">
        <f>HYPERLINK("http://141.218.60.56/~jnz1568/getInfo.php?workbook=16_14.xlsx&amp;sheet=U0&amp;row=113&amp;col=11&amp;number=0.1636&amp;sourceID=52","0.1636")</f>
        <v>0.1636</v>
      </c>
    </row>
    <row r="114" spans="1:11">
      <c r="A114" s="3"/>
      <c r="B114" s="3"/>
      <c r="C114" s="3"/>
      <c r="D114" s="3"/>
      <c r="E114" s="3">
        <v>15</v>
      </c>
      <c r="F114" s="4" t="str">
        <f>HYPERLINK("http://141.218.60.56/~jnz1568/getInfo.php?workbook=16_14.xlsx&amp;sheet=U0&amp;row=114&amp;col=6&amp;number=5.8&amp;sourceID=50","5.8")</f>
        <v>5.8</v>
      </c>
      <c r="G114" s="4" t="str">
        <f>HYPERLINK("http://141.218.60.56/~jnz1568/getInfo.php?workbook=16_14.xlsx&amp;sheet=U0&amp;row=114&amp;col=7&amp;number=0.0872&amp;sourceID=50","0.0872")</f>
        <v>0.0872</v>
      </c>
      <c r="H114" s="4" t="str">
        <f>HYPERLINK("http://141.218.60.56/~jnz1568/getInfo.php?workbook=16_14.xlsx&amp;sheet=U0&amp;row=114&amp;col=8&amp;number=&amp;sourceID=51","")</f>
        <v/>
      </c>
      <c r="I114" s="4" t="str">
        <f>HYPERLINK("http://141.218.60.56/~jnz1568/getInfo.php?workbook=16_14.xlsx&amp;sheet=U0&amp;row=114&amp;col=9&amp;number=&amp;sourceID=51","")</f>
        <v/>
      </c>
      <c r="J114" s="4" t="str">
        <f>HYPERLINK("http://141.218.60.56/~jnz1568/getInfo.php?workbook=16_14.xlsx&amp;sheet=U0&amp;row=114&amp;col=10&amp;number=4.279&amp;sourceID=52","4.279")</f>
        <v>4.279</v>
      </c>
      <c r="K114" s="4" t="str">
        <f>HYPERLINK("http://141.218.60.56/~jnz1568/getInfo.php?workbook=16_14.xlsx&amp;sheet=U0&amp;row=114&amp;col=11&amp;number=0.1639&amp;sourceID=52","0.1639")</f>
        <v>0.1639</v>
      </c>
    </row>
    <row r="115" spans="1:11">
      <c r="A115" s="3"/>
      <c r="B115" s="3"/>
      <c r="C115" s="3"/>
      <c r="D115" s="3"/>
      <c r="E115" s="3">
        <v>16</v>
      </c>
      <c r="F115" s="4" t="str">
        <f>HYPERLINK("http://141.218.60.56/~jnz1568/getInfo.php?workbook=16_14.xlsx&amp;sheet=U0&amp;row=115&amp;col=6&amp;number=6&amp;sourceID=50","6")</f>
        <v>6</v>
      </c>
      <c r="G115" s="4" t="str">
        <f>HYPERLINK("http://141.218.60.56/~jnz1568/getInfo.php?workbook=16_14.xlsx&amp;sheet=U0&amp;row=115&amp;col=7&amp;number=0.0684&amp;sourceID=50","0.0684")</f>
        <v>0.0684</v>
      </c>
      <c r="H115" s="4" t="str">
        <f>HYPERLINK("http://141.218.60.56/~jnz1568/getInfo.php?workbook=16_14.xlsx&amp;sheet=U0&amp;row=115&amp;col=8&amp;number=&amp;sourceID=51","")</f>
        <v/>
      </c>
      <c r="I115" s="4" t="str">
        <f>HYPERLINK("http://141.218.60.56/~jnz1568/getInfo.php?workbook=16_14.xlsx&amp;sheet=U0&amp;row=115&amp;col=9&amp;number=&amp;sourceID=51","")</f>
        <v/>
      </c>
      <c r="J115" s="4" t="str">
        <f>HYPERLINK("http://141.218.60.56/~jnz1568/getInfo.php?workbook=16_14.xlsx&amp;sheet=U0&amp;row=115&amp;col=10&amp;number=4.301&amp;sourceID=52","4.301")</f>
        <v>4.301</v>
      </c>
      <c r="K115" s="4" t="str">
        <f>HYPERLINK("http://141.218.60.56/~jnz1568/getInfo.php?workbook=16_14.xlsx&amp;sheet=U0&amp;row=115&amp;col=11&amp;number=0.1641&amp;sourceID=52","0.1641")</f>
        <v>0.1641</v>
      </c>
    </row>
    <row r="116" spans="1:11">
      <c r="A116" s="3">
        <v>16</v>
      </c>
      <c r="B116" s="3">
        <v>14</v>
      </c>
      <c r="C116" s="3">
        <v>5</v>
      </c>
      <c r="D116" s="3">
        <v>2</v>
      </c>
      <c r="E116" s="3">
        <v>1</v>
      </c>
      <c r="F116" s="4" t="str">
        <f>HYPERLINK("http://141.218.60.56/~jnz1568/getInfo.php?workbook=16_14.xlsx&amp;sheet=U0&amp;row=116&amp;col=6&amp;number=3&amp;sourceID=50","3")</f>
        <v>3</v>
      </c>
      <c r="G116" s="4" t="str">
        <f>HYPERLINK("http://141.218.60.56/~jnz1568/getInfo.php?workbook=16_14.xlsx&amp;sheet=U0&amp;row=116&amp;col=7&amp;number=0.217&amp;sourceID=50","0.217")</f>
        <v>0.217</v>
      </c>
      <c r="H116" s="4" t="str">
        <f>HYPERLINK("http://141.218.60.56/~jnz1568/getInfo.php?workbook=16_14.xlsx&amp;sheet=U0&amp;row=116&amp;col=8&amp;number=3&amp;sourceID=51","3")</f>
        <v>3</v>
      </c>
      <c r="I116" s="4" t="str">
        <f>HYPERLINK("http://141.218.60.56/~jnz1568/getInfo.php?workbook=16_14.xlsx&amp;sheet=U0&amp;row=116&amp;col=9&amp;number=0.4168&amp;sourceID=51","0.4168")</f>
        <v>0.4168</v>
      </c>
      <c r="J116" s="4" t="str">
        <f>HYPERLINK("http://141.218.60.56/~jnz1568/getInfo.php?workbook=16_14.xlsx&amp;sheet=U0&amp;row=116&amp;col=10&amp;number=3.699&amp;sourceID=52","3.699")</f>
        <v>3.699</v>
      </c>
      <c r="K116" s="4" t="str">
        <f>HYPERLINK("http://141.218.60.56/~jnz1568/getInfo.php?workbook=16_14.xlsx&amp;sheet=U0&amp;row=116&amp;col=11&amp;number=0.4358&amp;sourceID=52","0.4358")</f>
        <v>0.4358</v>
      </c>
    </row>
    <row r="117" spans="1:11">
      <c r="A117" s="3"/>
      <c r="B117" s="3"/>
      <c r="C117" s="3"/>
      <c r="D117" s="3"/>
      <c r="E117" s="3">
        <v>2</v>
      </c>
      <c r="F117" s="4" t="str">
        <f>HYPERLINK("http://141.218.60.56/~jnz1568/getInfo.php?workbook=16_14.xlsx&amp;sheet=U0&amp;row=117&amp;col=6&amp;number=3.2&amp;sourceID=50","3.2")</f>
        <v>3.2</v>
      </c>
      <c r="G117" s="4" t="str">
        <f>HYPERLINK("http://141.218.60.56/~jnz1568/getInfo.php?workbook=16_14.xlsx&amp;sheet=U0&amp;row=117&amp;col=7&amp;number=0.236&amp;sourceID=50","0.236")</f>
        <v>0.236</v>
      </c>
      <c r="H117" s="4" t="str">
        <f>HYPERLINK("http://141.218.60.56/~jnz1568/getInfo.php?workbook=16_14.xlsx&amp;sheet=U0&amp;row=117&amp;col=8&amp;number=3.2&amp;sourceID=51","3.2")</f>
        <v>3.2</v>
      </c>
      <c r="I117" s="4" t="str">
        <f>HYPERLINK("http://141.218.60.56/~jnz1568/getInfo.php?workbook=16_14.xlsx&amp;sheet=U0&amp;row=117&amp;col=9&amp;number=0.4062&amp;sourceID=51","0.4062")</f>
        <v>0.4062</v>
      </c>
      <c r="J117" s="4" t="str">
        <f>HYPERLINK("http://141.218.60.56/~jnz1568/getInfo.php?workbook=16_14.xlsx&amp;sheet=U0&amp;row=117&amp;col=10&amp;number=3.778&amp;sourceID=52","3.778")</f>
        <v>3.778</v>
      </c>
      <c r="K117" s="4" t="str">
        <f>HYPERLINK("http://141.218.60.56/~jnz1568/getInfo.php?workbook=16_14.xlsx&amp;sheet=U0&amp;row=117&amp;col=11&amp;number=0.4494&amp;sourceID=52","0.4494")</f>
        <v>0.4494</v>
      </c>
    </row>
    <row r="118" spans="1:11">
      <c r="A118" s="3"/>
      <c r="B118" s="3"/>
      <c r="C118" s="3"/>
      <c r="D118" s="3"/>
      <c r="E118" s="3">
        <v>3</v>
      </c>
      <c r="F118" s="4" t="str">
        <f>HYPERLINK("http://141.218.60.56/~jnz1568/getInfo.php?workbook=16_14.xlsx&amp;sheet=U0&amp;row=118&amp;col=6&amp;number=3.4&amp;sourceID=50","3.4")</f>
        <v>3.4</v>
      </c>
      <c r="G118" s="4" t="str">
        <f>HYPERLINK("http://141.218.60.56/~jnz1568/getInfo.php?workbook=16_14.xlsx&amp;sheet=U0&amp;row=118&amp;col=7&amp;number=0.257&amp;sourceID=50","0.257")</f>
        <v>0.257</v>
      </c>
      <c r="H118" s="4" t="str">
        <f>HYPERLINK("http://141.218.60.56/~jnz1568/getInfo.php?workbook=16_14.xlsx&amp;sheet=U0&amp;row=118&amp;col=8&amp;number=3.4&amp;sourceID=51","3.4")</f>
        <v>3.4</v>
      </c>
      <c r="I118" s="4" t="str">
        <f>HYPERLINK("http://141.218.60.56/~jnz1568/getInfo.php?workbook=16_14.xlsx&amp;sheet=U0&amp;row=118&amp;col=9&amp;number=0.3881&amp;sourceID=51","0.3881")</f>
        <v>0.3881</v>
      </c>
      <c r="J118" s="4" t="str">
        <f>HYPERLINK("http://141.218.60.56/~jnz1568/getInfo.php?workbook=16_14.xlsx&amp;sheet=U0&amp;row=118&amp;col=10&amp;number=3.845&amp;sourceID=52","3.845")</f>
        <v>3.845</v>
      </c>
      <c r="K118" s="4" t="str">
        <f>HYPERLINK("http://141.218.60.56/~jnz1568/getInfo.php?workbook=16_14.xlsx&amp;sheet=U0&amp;row=118&amp;col=11&amp;number=0.4597&amp;sourceID=52","0.4597")</f>
        <v>0.4597</v>
      </c>
    </row>
    <row r="119" spans="1:11">
      <c r="A119" s="3"/>
      <c r="B119" s="3"/>
      <c r="C119" s="3"/>
      <c r="D119" s="3"/>
      <c r="E119" s="3">
        <v>4</v>
      </c>
      <c r="F119" s="4" t="str">
        <f>HYPERLINK("http://141.218.60.56/~jnz1568/getInfo.php?workbook=16_14.xlsx&amp;sheet=U0&amp;row=119&amp;col=6&amp;number=3.6&amp;sourceID=50","3.6")</f>
        <v>3.6</v>
      </c>
      <c r="G119" s="4" t="str">
        <f>HYPERLINK("http://141.218.60.56/~jnz1568/getInfo.php?workbook=16_14.xlsx&amp;sheet=U0&amp;row=119&amp;col=7&amp;number=0.279&amp;sourceID=50","0.279")</f>
        <v>0.279</v>
      </c>
      <c r="H119" s="4" t="str">
        <f>HYPERLINK("http://141.218.60.56/~jnz1568/getInfo.php?workbook=16_14.xlsx&amp;sheet=U0&amp;row=119&amp;col=8&amp;number=3.6&amp;sourceID=51","3.6")</f>
        <v>3.6</v>
      </c>
      <c r="I119" s="4" t="str">
        <f>HYPERLINK("http://141.218.60.56/~jnz1568/getInfo.php?workbook=16_14.xlsx&amp;sheet=U0&amp;row=119&amp;col=9&amp;number=0.3727&amp;sourceID=51","0.3727")</f>
        <v>0.3727</v>
      </c>
      <c r="J119" s="4" t="str">
        <f>HYPERLINK("http://141.218.60.56/~jnz1568/getInfo.php?workbook=16_14.xlsx&amp;sheet=U0&amp;row=119&amp;col=10&amp;number=3.903&amp;sourceID=52","3.903")</f>
        <v>3.903</v>
      </c>
      <c r="K119" s="4" t="str">
        <f>HYPERLINK("http://141.218.60.56/~jnz1568/getInfo.php?workbook=16_14.xlsx&amp;sheet=U0&amp;row=119&amp;col=11&amp;number=0.4674&amp;sourceID=52","0.4674")</f>
        <v>0.4674</v>
      </c>
    </row>
    <row r="120" spans="1:11">
      <c r="A120" s="3"/>
      <c r="B120" s="3"/>
      <c r="C120" s="3"/>
      <c r="D120" s="3"/>
      <c r="E120" s="3">
        <v>5</v>
      </c>
      <c r="F120" s="4" t="str">
        <f>HYPERLINK("http://141.218.60.56/~jnz1568/getInfo.php?workbook=16_14.xlsx&amp;sheet=U0&amp;row=120&amp;col=6&amp;number=3.8&amp;sourceID=50","3.8")</f>
        <v>3.8</v>
      </c>
      <c r="G120" s="4" t="str">
        <f>HYPERLINK("http://141.218.60.56/~jnz1568/getInfo.php?workbook=16_14.xlsx&amp;sheet=U0&amp;row=120&amp;col=7&amp;number=0.305&amp;sourceID=50","0.305")</f>
        <v>0.305</v>
      </c>
      <c r="H120" s="4" t="str">
        <f>HYPERLINK("http://141.218.60.56/~jnz1568/getInfo.php?workbook=16_14.xlsx&amp;sheet=U0&amp;row=120&amp;col=8&amp;number=3.8&amp;sourceID=51","3.8")</f>
        <v>3.8</v>
      </c>
      <c r="I120" s="4" t="str">
        <f>HYPERLINK("http://141.218.60.56/~jnz1568/getInfo.php?workbook=16_14.xlsx&amp;sheet=U0&amp;row=120&amp;col=9&amp;number=0.3656&amp;sourceID=51","0.3656")</f>
        <v>0.3656</v>
      </c>
      <c r="J120" s="4" t="str">
        <f>HYPERLINK("http://141.218.60.56/~jnz1568/getInfo.php?workbook=16_14.xlsx&amp;sheet=U0&amp;row=120&amp;col=10&amp;number=3.954&amp;sourceID=52","3.954")</f>
        <v>3.954</v>
      </c>
      <c r="K120" s="4" t="str">
        <f>HYPERLINK("http://141.218.60.56/~jnz1568/getInfo.php?workbook=16_14.xlsx&amp;sheet=U0&amp;row=120&amp;col=11&amp;number=0.4731&amp;sourceID=52","0.4731")</f>
        <v>0.4731</v>
      </c>
    </row>
    <row r="121" spans="1:11">
      <c r="A121" s="3"/>
      <c r="B121" s="3"/>
      <c r="C121" s="3"/>
      <c r="D121" s="3"/>
      <c r="E121" s="3">
        <v>6</v>
      </c>
      <c r="F121" s="4" t="str">
        <f>HYPERLINK("http://141.218.60.56/~jnz1568/getInfo.php?workbook=16_14.xlsx&amp;sheet=U0&amp;row=121&amp;col=6&amp;number=4&amp;sourceID=50","4")</f>
        <v>4</v>
      </c>
      <c r="G121" s="4" t="str">
        <f>HYPERLINK("http://141.218.60.56/~jnz1568/getInfo.php?workbook=16_14.xlsx&amp;sheet=U0&amp;row=121&amp;col=7&amp;number=0.33&amp;sourceID=50","0.33")</f>
        <v>0.33</v>
      </c>
      <c r="H121" s="4" t="str">
        <f>HYPERLINK("http://141.218.60.56/~jnz1568/getInfo.php?workbook=16_14.xlsx&amp;sheet=U0&amp;row=121&amp;col=8&amp;number=4&amp;sourceID=51","4")</f>
        <v>4</v>
      </c>
      <c r="I121" s="4" t="str">
        <f>HYPERLINK("http://141.218.60.56/~jnz1568/getInfo.php?workbook=16_14.xlsx&amp;sheet=U0&amp;row=121&amp;col=9&amp;number=0.3658&amp;sourceID=51","0.3658")</f>
        <v>0.3658</v>
      </c>
      <c r="J121" s="4" t="str">
        <f>HYPERLINK("http://141.218.60.56/~jnz1568/getInfo.php?workbook=16_14.xlsx&amp;sheet=U0&amp;row=121&amp;col=10&amp;number=4&amp;sourceID=52","4")</f>
        <v>4</v>
      </c>
      <c r="K121" s="4" t="str">
        <f>HYPERLINK("http://141.218.60.56/~jnz1568/getInfo.php?workbook=16_14.xlsx&amp;sheet=U0&amp;row=121&amp;col=11&amp;number=0.4774&amp;sourceID=52","0.4774")</f>
        <v>0.4774</v>
      </c>
    </row>
    <row r="122" spans="1:11">
      <c r="A122" s="3"/>
      <c r="B122" s="3"/>
      <c r="C122" s="3"/>
      <c r="D122" s="3"/>
      <c r="E122" s="3">
        <v>7</v>
      </c>
      <c r="F122" s="4" t="str">
        <f>HYPERLINK("http://141.218.60.56/~jnz1568/getInfo.php?workbook=16_14.xlsx&amp;sheet=U0&amp;row=122&amp;col=6&amp;number=4.2&amp;sourceID=50","4.2")</f>
        <v>4.2</v>
      </c>
      <c r="G122" s="4" t="str">
        <f>HYPERLINK("http://141.218.60.56/~jnz1568/getInfo.php?workbook=16_14.xlsx&amp;sheet=U0&amp;row=122&amp;col=7&amp;number=0.354&amp;sourceID=50","0.354")</f>
        <v>0.354</v>
      </c>
      <c r="H122" s="4" t="str">
        <f>HYPERLINK("http://141.218.60.56/~jnz1568/getInfo.php?workbook=16_14.xlsx&amp;sheet=U0&amp;row=122&amp;col=8&amp;number=4.2&amp;sourceID=51","4.2")</f>
        <v>4.2</v>
      </c>
      <c r="I122" s="4" t="str">
        <f>HYPERLINK("http://141.218.60.56/~jnz1568/getInfo.php?workbook=16_14.xlsx&amp;sheet=U0&amp;row=122&amp;col=9&amp;number=0.3745&amp;sourceID=51","0.3745")</f>
        <v>0.3745</v>
      </c>
      <c r="J122" s="4" t="str">
        <f>HYPERLINK("http://141.218.60.56/~jnz1568/getInfo.php?workbook=16_14.xlsx&amp;sheet=U0&amp;row=122&amp;col=10&amp;number=4.041&amp;sourceID=52","4.041")</f>
        <v>4.041</v>
      </c>
      <c r="K122" s="4" t="str">
        <f>HYPERLINK("http://141.218.60.56/~jnz1568/getInfo.php?workbook=16_14.xlsx&amp;sheet=U0&amp;row=122&amp;col=11&amp;number=0.4806&amp;sourceID=52","0.4806")</f>
        <v>0.4806</v>
      </c>
    </row>
    <row r="123" spans="1:11">
      <c r="A123" s="3"/>
      <c r="B123" s="3"/>
      <c r="C123" s="3"/>
      <c r="D123" s="3"/>
      <c r="E123" s="3">
        <v>8</v>
      </c>
      <c r="F123" s="4" t="str">
        <f>HYPERLINK("http://141.218.60.56/~jnz1568/getInfo.php?workbook=16_14.xlsx&amp;sheet=U0&amp;row=123&amp;col=6&amp;number=4.4&amp;sourceID=50","4.4")</f>
        <v>4.4</v>
      </c>
      <c r="G123" s="4" t="str">
        <f>HYPERLINK("http://141.218.60.56/~jnz1568/getInfo.php?workbook=16_14.xlsx&amp;sheet=U0&amp;row=123&amp;col=7&amp;number=0.384&amp;sourceID=50","0.384")</f>
        <v>0.384</v>
      </c>
      <c r="H123" s="4" t="str">
        <f>HYPERLINK("http://141.218.60.56/~jnz1568/getInfo.php?workbook=16_14.xlsx&amp;sheet=U0&amp;row=123&amp;col=8&amp;number=4.4&amp;sourceID=51","4.4")</f>
        <v>4.4</v>
      </c>
      <c r="I123" s="4" t="str">
        <f>HYPERLINK("http://141.218.60.56/~jnz1568/getInfo.php?workbook=16_14.xlsx&amp;sheet=U0&amp;row=123&amp;col=9&amp;number=0.3959&amp;sourceID=51","0.3959")</f>
        <v>0.3959</v>
      </c>
      <c r="J123" s="4" t="str">
        <f>HYPERLINK("http://141.218.60.56/~jnz1568/getInfo.php?workbook=16_14.xlsx&amp;sheet=U0&amp;row=123&amp;col=10&amp;number=4.079&amp;sourceID=52","4.079")</f>
        <v>4.079</v>
      </c>
      <c r="K123" s="4" t="str">
        <f>HYPERLINK("http://141.218.60.56/~jnz1568/getInfo.php?workbook=16_14.xlsx&amp;sheet=U0&amp;row=123&amp;col=11&amp;number=0.4831&amp;sourceID=52","0.4831")</f>
        <v>0.4831</v>
      </c>
    </row>
    <row r="124" spans="1:11">
      <c r="A124" s="3"/>
      <c r="B124" s="3"/>
      <c r="C124" s="3"/>
      <c r="D124" s="3"/>
      <c r="E124" s="3">
        <v>9</v>
      </c>
      <c r="F124" s="4" t="str">
        <f>HYPERLINK("http://141.218.60.56/~jnz1568/getInfo.php?workbook=16_14.xlsx&amp;sheet=U0&amp;row=124&amp;col=6&amp;number=4.6&amp;sourceID=50","4.6")</f>
        <v>4.6</v>
      </c>
      <c r="G124" s="4" t="str">
        <f>HYPERLINK("http://141.218.60.56/~jnz1568/getInfo.php?workbook=16_14.xlsx&amp;sheet=U0&amp;row=124&amp;col=7&amp;number=0.408&amp;sourceID=50","0.408")</f>
        <v>0.408</v>
      </c>
      <c r="H124" s="4" t="str">
        <f>HYPERLINK("http://141.218.60.56/~jnz1568/getInfo.php?workbook=16_14.xlsx&amp;sheet=U0&amp;row=124&amp;col=8&amp;number=4.6&amp;sourceID=51","4.6")</f>
        <v>4.6</v>
      </c>
      <c r="I124" s="4" t="str">
        <f>HYPERLINK("http://141.218.60.56/~jnz1568/getInfo.php?workbook=16_14.xlsx&amp;sheet=U0&amp;row=124&amp;col=9&amp;number=0.4192&amp;sourceID=51","0.4192")</f>
        <v>0.4192</v>
      </c>
      <c r="J124" s="4" t="str">
        <f>HYPERLINK("http://141.218.60.56/~jnz1568/getInfo.php?workbook=16_14.xlsx&amp;sheet=U0&amp;row=124&amp;col=10&amp;number=4.114&amp;sourceID=52","4.114")</f>
        <v>4.114</v>
      </c>
      <c r="K124" s="4" t="str">
        <f>HYPERLINK("http://141.218.60.56/~jnz1568/getInfo.php?workbook=16_14.xlsx&amp;sheet=U0&amp;row=124&amp;col=11&amp;number=0.4851&amp;sourceID=52","0.4851")</f>
        <v>0.4851</v>
      </c>
    </row>
    <row r="125" spans="1:11">
      <c r="A125" s="3"/>
      <c r="B125" s="3"/>
      <c r="C125" s="3"/>
      <c r="D125" s="3"/>
      <c r="E125" s="3">
        <v>10</v>
      </c>
      <c r="F125" s="4" t="str">
        <f>HYPERLINK("http://141.218.60.56/~jnz1568/getInfo.php?workbook=16_14.xlsx&amp;sheet=U0&amp;row=125&amp;col=6&amp;number=4.8&amp;sourceID=50","4.8")</f>
        <v>4.8</v>
      </c>
      <c r="G125" s="4" t="str">
        <f>HYPERLINK("http://141.218.60.56/~jnz1568/getInfo.php?workbook=16_14.xlsx&amp;sheet=U0&amp;row=125&amp;col=7&amp;number=0.405&amp;sourceID=50","0.405")</f>
        <v>0.405</v>
      </c>
      <c r="H125" s="4" t="str">
        <f>HYPERLINK("http://141.218.60.56/~jnz1568/getInfo.php?workbook=16_14.xlsx&amp;sheet=U0&amp;row=125&amp;col=8&amp;number=4.8&amp;sourceID=51","4.8")</f>
        <v>4.8</v>
      </c>
      <c r="I125" s="4" t="str">
        <f>HYPERLINK("http://141.218.60.56/~jnz1568/getInfo.php?workbook=16_14.xlsx&amp;sheet=U0&amp;row=125&amp;col=9&amp;number=0.4184&amp;sourceID=51","0.4184")</f>
        <v>0.4184</v>
      </c>
      <c r="J125" s="4" t="str">
        <f>HYPERLINK("http://141.218.60.56/~jnz1568/getInfo.php?workbook=16_14.xlsx&amp;sheet=U0&amp;row=125&amp;col=10&amp;number=4.146&amp;sourceID=52","4.146")</f>
        <v>4.146</v>
      </c>
      <c r="K125" s="4" t="str">
        <f>HYPERLINK("http://141.218.60.56/~jnz1568/getInfo.php?workbook=16_14.xlsx&amp;sheet=U0&amp;row=125&amp;col=11&amp;number=0.4866&amp;sourceID=52","0.4866")</f>
        <v>0.4866</v>
      </c>
    </row>
    <row r="126" spans="1:11">
      <c r="A126" s="3"/>
      <c r="B126" s="3"/>
      <c r="C126" s="3"/>
      <c r="D126" s="3"/>
      <c r="E126" s="3">
        <v>11</v>
      </c>
      <c r="F126" s="4" t="str">
        <f>HYPERLINK("http://141.218.60.56/~jnz1568/getInfo.php?workbook=16_14.xlsx&amp;sheet=U0&amp;row=126&amp;col=6&amp;number=5&amp;sourceID=50","5")</f>
        <v>5</v>
      </c>
      <c r="G126" s="4" t="str">
        <f>HYPERLINK("http://141.218.60.56/~jnz1568/getInfo.php?workbook=16_14.xlsx&amp;sheet=U0&amp;row=126&amp;col=7&amp;number=0.365&amp;sourceID=50","0.365")</f>
        <v>0.365</v>
      </c>
      <c r="H126" s="4" t="str">
        <f>HYPERLINK("http://141.218.60.56/~jnz1568/getInfo.php?workbook=16_14.xlsx&amp;sheet=U0&amp;row=126&amp;col=8&amp;number=5&amp;sourceID=51","5")</f>
        <v>5</v>
      </c>
      <c r="I126" s="4" t="str">
        <f>HYPERLINK("http://141.218.60.56/~jnz1568/getInfo.php?workbook=16_14.xlsx&amp;sheet=U0&amp;row=126&amp;col=9&amp;number=0.3815&amp;sourceID=51","0.3815")</f>
        <v>0.3815</v>
      </c>
      <c r="J126" s="4" t="str">
        <f>HYPERLINK("http://141.218.60.56/~jnz1568/getInfo.php?workbook=16_14.xlsx&amp;sheet=U0&amp;row=126&amp;col=10&amp;number=4.176&amp;sourceID=52","4.176")</f>
        <v>4.176</v>
      </c>
      <c r="K126" s="4" t="str">
        <f>HYPERLINK("http://141.218.60.56/~jnz1568/getInfo.php?workbook=16_14.xlsx&amp;sheet=U0&amp;row=126&amp;col=11&amp;number=0.4879&amp;sourceID=52","0.4879")</f>
        <v>0.4879</v>
      </c>
    </row>
    <row r="127" spans="1:11">
      <c r="A127" s="3"/>
      <c r="B127" s="3"/>
      <c r="C127" s="3"/>
      <c r="D127" s="3"/>
      <c r="E127" s="3">
        <v>12</v>
      </c>
      <c r="F127" s="4" t="str">
        <f>HYPERLINK("http://141.218.60.56/~jnz1568/getInfo.php?workbook=16_14.xlsx&amp;sheet=U0&amp;row=127&amp;col=6&amp;number=5.2&amp;sourceID=50","5.2")</f>
        <v>5.2</v>
      </c>
      <c r="G127" s="4" t="str">
        <f>HYPERLINK("http://141.218.60.56/~jnz1568/getInfo.php?workbook=16_14.xlsx&amp;sheet=U0&amp;row=127&amp;col=7&amp;number=0.301&amp;sourceID=50","0.301")</f>
        <v>0.301</v>
      </c>
      <c r="H127" s="4" t="str">
        <f>HYPERLINK("http://141.218.60.56/~jnz1568/getInfo.php?workbook=16_14.xlsx&amp;sheet=U0&amp;row=127&amp;col=8&amp;number=&amp;sourceID=51","")</f>
        <v/>
      </c>
      <c r="I127" s="4" t="str">
        <f>HYPERLINK("http://141.218.60.56/~jnz1568/getInfo.php?workbook=16_14.xlsx&amp;sheet=U0&amp;row=127&amp;col=9&amp;number=&amp;sourceID=51","")</f>
        <v/>
      </c>
      <c r="J127" s="4" t="str">
        <f>HYPERLINK("http://141.218.60.56/~jnz1568/getInfo.php?workbook=16_14.xlsx&amp;sheet=U0&amp;row=127&amp;col=10&amp;number=4.204&amp;sourceID=52","4.204")</f>
        <v>4.204</v>
      </c>
      <c r="K127" s="4" t="str">
        <f>HYPERLINK("http://141.218.60.56/~jnz1568/getInfo.php?workbook=16_14.xlsx&amp;sheet=U0&amp;row=127&amp;col=11&amp;number=0.489&amp;sourceID=52","0.489")</f>
        <v>0.489</v>
      </c>
    </row>
    <row r="128" spans="1:11">
      <c r="A128" s="3"/>
      <c r="B128" s="3"/>
      <c r="C128" s="3"/>
      <c r="D128" s="3"/>
      <c r="E128" s="3">
        <v>13</v>
      </c>
      <c r="F128" s="4" t="str">
        <f>HYPERLINK("http://141.218.60.56/~jnz1568/getInfo.php?workbook=16_14.xlsx&amp;sheet=U0&amp;row=128&amp;col=6&amp;number=5.4&amp;sourceID=50","5.4")</f>
        <v>5.4</v>
      </c>
      <c r="G128" s="4" t="str">
        <f>HYPERLINK("http://141.218.60.56/~jnz1568/getInfo.php?workbook=16_14.xlsx&amp;sheet=U0&amp;row=128&amp;col=7&amp;number=0.231&amp;sourceID=50","0.231")</f>
        <v>0.231</v>
      </c>
      <c r="H128" s="4" t="str">
        <f>HYPERLINK("http://141.218.60.56/~jnz1568/getInfo.php?workbook=16_14.xlsx&amp;sheet=U0&amp;row=128&amp;col=8&amp;number=&amp;sourceID=51","")</f>
        <v/>
      </c>
      <c r="I128" s="4" t="str">
        <f>HYPERLINK("http://141.218.60.56/~jnz1568/getInfo.php?workbook=16_14.xlsx&amp;sheet=U0&amp;row=128&amp;col=9&amp;number=&amp;sourceID=51","")</f>
        <v/>
      </c>
      <c r="J128" s="4" t="str">
        <f>HYPERLINK("http://141.218.60.56/~jnz1568/getInfo.php?workbook=16_14.xlsx&amp;sheet=U0&amp;row=128&amp;col=10&amp;number=4.23&amp;sourceID=52","4.23")</f>
        <v>4.23</v>
      </c>
      <c r="K128" s="4" t="str">
        <f>HYPERLINK("http://141.218.60.56/~jnz1568/getInfo.php?workbook=16_14.xlsx&amp;sheet=U0&amp;row=128&amp;col=11&amp;number=0.49&amp;sourceID=52","0.49")</f>
        <v>0.49</v>
      </c>
    </row>
    <row r="129" spans="1:11">
      <c r="A129" s="3"/>
      <c r="B129" s="3"/>
      <c r="C129" s="3"/>
      <c r="D129" s="3"/>
      <c r="E129" s="3">
        <v>14</v>
      </c>
      <c r="F129" s="4" t="str">
        <f>HYPERLINK("http://141.218.60.56/~jnz1568/getInfo.php?workbook=16_14.xlsx&amp;sheet=U0&amp;row=129&amp;col=6&amp;number=5.6&amp;sourceID=50","5.6")</f>
        <v>5.6</v>
      </c>
      <c r="G129" s="4" t="str">
        <f>HYPERLINK("http://141.218.60.56/~jnz1568/getInfo.php?workbook=16_14.xlsx&amp;sheet=U0&amp;row=129&amp;col=7&amp;number=0.169&amp;sourceID=50","0.169")</f>
        <v>0.169</v>
      </c>
      <c r="H129" s="4" t="str">
        <f>HYPERLINK("http://141.218.60.56/~jnz1568/getInfo.php?workbook=16_14.xlsx&amp;sheet=U0&amp;row=129&amp;col=8&amp;number=&amp;sourceID=51","")</f>
        <v/>
      </c>
      <c r="I129" s="4" t="str">
        <f>HYPERLINK("http://141.218.60.56/~jnz1568/getInfo.php?workbook=16_14.xlsx&amp;sheet=U0&amp;row=129&amp;col=9&amp;number=&amp;sourceID=51","")</f>
        <v/>
      </c>
      <c r="J129" s="4" t="str">
        <f>HYPERLINK("http://141.218.60.56/~jnz1568/getInfo.php?workbook=16_14.xlsx&amp;sheet=U0&amp;row=129&amp;col=10&amp;number=4.255&amp;sourceID=52","4.255")</f>
        <v>4.255</v>
      </c>
      <c r="K129" s="4" t="str">
        <f>HYPERLINK("http://141.218.60.56/~jnz1568/getInfo.php?workbook=16_14.xlsx&amp;sheet=U0&amp;row=129&amp;col=11&amp;number=0.4908&amp;sourceID=52","0.4908")</f>
        <v>0.4908</v>
      </c>
    </row>
    <row r="130" spans="1:11">
      <c r="A130" s="3"/>
      <c r="B130" s="3"/>
      <c r="C130" s="3"/>
      <c r="D130" s="3"/>
      <c r="E130" s="3">
        <v>15</v>
      </c>
      <c r="F130" s="4" t="str">
        <f>HYPERLINK("http://141.218.60.56/~jnz1568/getInfo.php?workbook=16_14.xlsx&amp;sheet=U0&amp;row=130&amp;col=6&amp;number=5.8&amp;sourceID=50","5.8")</f>
        <v>5.8</v>
      </c>
      <c r="G130" s="4" t="str">
        <f>HYPERLINK("http://141.218.60.56/~jnz1568/getInfo.php?workbook=16_14.xlsx&amp;sheet=U0&amp;row=130&amp;col=7&amp;number=0.118&amp;sourceID=50","0.118")</f>
        <v>0.118</v>
      </c>
      <c r="H130" s="4" t="str">
        <f>HYPERLINK("http://141.218.60.56/~jnz1568/getInfo.php?workbook=16_14.xlsx&amp;sheet=U0&amp;row=130&amp;col=8&amp;number=&amp;sourceID=51","")</f>
        <v/>
      </c>
      <c r="I130" s="4" t="str">
        <f>HYPERLINK("http://141.218.60.56/~jnz1568/getInfo.php?workbook=16_14.xlsx&amp;sheet=U0&amp;row=130&amp;col=9&amp;number=&amp;sourceID=51","")</f>
        <v/>
      </c>
      <c r="J130" s="4" t="str">
        <f>HYPERLINK("http://141.218.60.56/~jnz1568/getInfo.php?workbook=16_14.xlsx&amp;sheet=U0&amp;row=130&amp;col=10&amp;number=4.279&amp;sourceID=52","4.279")</f>
        <v>4.279</v>
      </c>
      <c r="K130" s="4" t="str">
        <f>HYPERLINK("http://141.218.60.56/~jnz1568/getInfo.php?workbook=16_14.xlsx&amp;sheet=U0&amp;row=130&amp;col=11&amp;number=0.4916&amp;sourceID=52","0.4916")</f>
        <v>0.4916</v>
      </c>
    </row>
    <row r="131" spans="1:11">
      <c r="A131" s="3"/>
      <c r="B131" s="3"/>
      <c r="C131" s="3"/>
      <c r="D131" s="3"/>
      <c r="E131" s="3">
        <v>16</v>
      </c>
      <c r="F131" s="4" t="str">
        <f>HYPERLINK("http://141.218.60.56/~jnz1568/getInfo.php?workbook=16_14.xlsx&amp;sheet=U0&amp;row=131&amp;col=6&amp;number=6&amp;sourceID=50","6")</f>
        <v>6</v>
      </c>
      <c r="G131" s="4" t="str">
        <f>HYPERLINK("http://141.218.60.56/~jnz1568/getInfo.php?workbook=16_14.xlsx&amp;sheet=U0&amp;row=131&amp;col=7&amp;number=0.0804&amp;sourceID=50","0.0804")</f>
        <v>0.0804</v>
      </c>
      <c r="H131" s="4" t="str">
        <f>HYPERLINK("http://141.218.60.56/~jnz1568/getInfo.php?workbook=16_14.xlsx&amp;sheet=U0&amp;row=131&amp;col=8&amp;number=&amp;sourceID=51","")</f>
        <v/>
      </c>
      <c r="I131" s="4" t="str">
        <f>HYPERLINK("http://141.218.60.56/~jnz1568/getInfo.php?workbook=16_14.xlsx&amp;sheet=U0&amp;row=131&amp;col=9&amp;number=&amp;sourceID=51","")</f>
        <v/>
      </c>
      <c r="J131" s="4" t="str">
        <f>HYPERLINK("http://141.218.60.56/~jnz1568/getInfo.php?workbook=16_14.xlsx&amp;sheet=U0&amp;row=131&amp;col=10&amp;number=4.301&amp;sourceID=52","4.301")</f>
        <v>4.301</v>
      </c>
      <c r="K131" s="4" t="str">
        <f>HYPERLINK("http://141.218.60.56/~jnz1568/getInfo.php?workbook=16_14.xlsx&amp;sheet=U0&amp;row=131&amp;col=11&amp;number=0.4924&amp;sourceID=52","0.4924")</f>
        <v>0.4924</v>
      </c>
    </row>
    <row r="132" spans="1:11">
      <c r="A132" s="3">
        <v>16</v>
      </c>
      <c r="B132" s="3">
        <v>14</v>
      </c>
      <c r="C132" s="3">
        <v>5</v>
      </c>
      <c r="D132" s="3">
        <v>3</v>
      </c>
      <c r="E132" s="3">
        <v>1</v>
      </c>
      <c r="F132" s="4" t="str">
        <f>HYPERLINK("http://141.218.60.56/~jnz1568/getInfo.php?workbook=16_14.xlsx&amp;sheet=U0&amp;row=132&amp;col=6&amp;number=3&amp;sourceID=50","3")</f>
        <v>3</v>
      </c>
      <c r="G132" s="4" t="str">
        <f>HYPERLINK("http://141.218.60.56/~jnz1568/getInfo.php?workbook=16_14.xlsx&amp;sheet=U0&amp;row=132&amp;col=7&amp;number=0.354&amp;sourceID=50","0.354")</f>
        <v>0.354</v>
      </c>
      <c r="H132" s="4" t="str">
        <f>HYPERLINK("http://141.218.60.56/~jnz1568/getInfo.php?workbook=16_14.xlsx&amp;sheet=U0&amp;row=132&amp;col=8&amp;number=3&amp;sourceID=51","3")</f>
        <v>3</v>
      </c>
      <c r="I132" s="4" t="str">
        <f>HYPERLINK("http://141.218.60.56/~jnz1568/getInfo.php?workbook=16_14.xlsx&amp;sheet=U0&amp;row=132&amp;col=9&amp;number=0.6947&amp;sourceID=51","0.6947")</f>
        <v>0.6947</v>
      </c>
      <c r="J132" s="4" t="str">
        <f>HYPERLINK("http://141.218.60.56/~jnz1568/getInfo.php?workbook=16_14.xlsx&amp;sheet=U0&amp;row=132&amp;col=10&amp;number=3.699&amp;sourceID=52","3.699")</f>
        <v>3.699</v>
      </c>
      <c r="K132" s="4" t="str">
        <f>HYPERLINK("http://141.218.60.56/~jnz1568/getInfo.php?workbook=16_14.xlsx&amp;sheet=U0&amp;row=132&amp;col=11&amp;number=0.7264&amp;sourceID=52","0.7264")</f>
        <v>0.7264</v>
      </c>
    </row>
    <row r="133" spans="1:11">
      <c r="A133" s="3"/>
      <c r="B133" s="3"/>
      <c r="C133" s="3"/>
      <c r="D133" s="3"/>
      <c r="E133" s="3">
        <v>2</v>
      </c>
      <c r="F133" s="4" t="str">
        <f>HYPERLINK("http://141.218.60.56/~jnz1568/getInfo.php?workbook=16_14.xlsx&amp;sheet=U0&amp;row=133&amp;col=6&amp;number=3.2&amp;sourceID=50","3.2")</f>
        <v>3.2</v>
      </c>
      <c r="G133" s="4" t="str">
        <f>HYPERLINK("http://141.218.60.56/~jnz1568/getInfo.php?workbook=16_14.xlsx&amp;sheet=U0&amp;row=133&amp;col=7&amp;number=0.387&amp;sourceID=50","0.387")</f>
        <v>0.387</v>
      </c>
      <c r="H133" s="4" t="str">
        <f>HYPERLINK("http://141.218.60.56/~jnz1568/getInfo.php?workbook=16_14.xlsx&amp;sheet=U0&amp;row=133&amp;col=8&amp;number=3.2&amp;sourceID=51","3.2")</f>
        <v>3.2</v>
      </c>
      <c r="I133" s="4" t="str">
        <f>HYPERLINK("http://141.218.60.56/~jnz1568/getInfo.php?workbook=16_14.xlsx&amp;sheet=U0&amp;row=133&amp;col=9&amp;number=0.677&amp;sourceID=51","0.677")</f>
        <v>0.677</v>
      </c>
      <c r="J133" s="4" t="str">
        <f>HYPERLINK("http://141.218.60.56/~jnz1568/getInfo.php?workbook=16_14.xlsx&amp;sheet=U0&amp;row=133&amp;col=10&amp;number=3.778&amp;sourceID=52","3.778")</f>
        <v>3.778</v>
      </c>
      <c r="K133" s="4" t="str">
        <f>HYPERLINK("http://141.218.60.56/~jnz1568/getInfo.php?workbook=16_14.xlsx&amp;sheet=U0&amp;row=133&amp;col=11&amp;number=0.749&amp;sourceID=52","0.749")</f>
        <v>0.749</v>
      </c>
    </row>
    <row r="134" spans="1:11">
      <c r="A134" s="3"/>
      <c r="B134" s="3"/>
      <c r="C134" s="3"/>
      <c r="D134" s="3"/>
      <c r="E134" s="3">
        <v>3</v>
      </c>
      <c r="F134" s="4" t="str">
        <f>HYPERLINK("http://141.218.60.56/~jnz1568/getInfo.php?workbook=16_14.xlsx&amp;sheet=U0&amp;row=134&amp;col=6&amp;number=3.4&amp;sourceID=50","3.4")</f>
        <v>3.4</v>
      </c>
      <c r="G134" s="4" t="str">
        <f>HYPERLINK("http://141.218.60.56/~jnz1568/getInfo.php?workbook=16_14.xlsx&amp;sheet=U0&amp;row=134&amp;col=7&amp;number=0.421&amp;sourceID=50","0.421")</f>
        <v>0.421</v>
      </c>
      <c r="H134" s="4" t="str">
        <f>HYPERLINK("http://141.218.60.56/~jnz1568/getInfo.php?workbook=16_14.xlsx&amp;sheet=U0&amp;row=134&amp;col=8&amp;number=3.4&amp;sourceID=51","3.4")</f>
        <v>3.4</v>
      </c>
      <c r="I134" s="4" t="str">
        <f>HYPERLINK("http://141.218.60.56/~jnz1568/getInfo.php?workbook=16_14.xlsx&amp;sheet=U0&amp;row=134&amp;col=9&amp;number=0.6468&amp;sourceID=51","0.6468")</f>
        <v>0.6468</v>
      </c>
      <c r="J134" s="4" t="str">
        <f>HYPERLINK("http://141.218.60.56/~jnz1568/getInfo.php?workbook=16_14.xlsx&amp;sheet=U0&amp;row=134&amp;col=10&amp;number=3.845&amp;sourceID=52","3.845")</f>
        <v>3.845</v>
      </c>
      <c r="K134" s="4" t="str">
        <f>HYPERLINK("http://141.218.60.56/~jnz1568/getInfo.php?workbook=16_14.xlsx&amp;sheet=U0&amp;row=134&amp;col=11&amp;number=0.7662&amp;sourceID=52","0.7662")</f>
        <v>0.7662</v>
      </c>
    </row>
    <row r="135" spans="1:11">
      <c r="A135" s="3"/>
      <c r="B135" s="3"/>
      <c r="C135" s="3"/>
      <c r="D135" s="3"/>
      <c r="E135" s="3">
        <v>4</v>
      </c>
      <c r="F135" s="4" t="str">
        <f>HYPERLINK("http://141.218.60.56/~jnz1568/getInfo.php?workbook=16_14.xlsx&amp;sheet=U0&amp;row=135&amp;col=6&amp;number=3.6&amp;sourceID=50","3.6")</f>
        <v>3.6</v>
      </c>
      <c r="G135" s="4" t="str">
        <f>HYPERLINK("http://141.218.60.56/~jnz1568/getInfo.php?workbook=16_14.xlsx&amp;sheet=U0&amp;row=135&amp;col=7&amp;number=0.46&amp;sourceID=50","0.46")</f>
        <v>0.46</v>
      </c>
      <c r="H135" s="4" t="str">
        <f>HYPERLINK("http://141.218.60.56/~jnz1568/getInfo.php?workbook=16_14.xlsx&amp;sheet=U0&amp;row=135&amp;col=8&amp;number=3.6&amp;sourceID=51","3.6")</f>
        <v>3.6</v>
      </c>
      <c r="I135" s="4" t="str">
        <f>HYPERLINK("http://141.218.60.56/~jnz1568/getInfo.php?workbook=16_14.xlsx&amp;sheet=U0&amp;row=135&amp;col=9&amp;number=0.6212&amp;sourceID=51","0.6212")</f>
        <v>0.6212</v>
      </c>
      <c r="J135" s="4" t="str">
        <f>HYPERLINK("http://141.218.60.56/~jnz1568/getInfo.php?workbook=16_14.xlsx&amp;sheet=U0&amp;row=135&amp;col=10&amp;number=3.903&amp;sourceID=52","3.903")</f>
        <v>3.903</v>
      </c>
      <c r="K135" s="4" t="str">
        <f>HYPERLINK("http://141.218.60.56/~jnz1568/getInfo.php?workbook=16_14.xlsx&amp;sheet=U0&amp;row=135&amp;col=11&amp;number=0.779&amp;sourceID=52","0.779")</f>
        <v>0.779</v>
      </c>
    </row>
    <row r="136" spans="1:11">
      <c r="A136" s="3"/>
      <c r="B136" s="3"/>
      <c r="C136" s="3"/>
      <c r="D136" s="3"/>
      <c r="E136" s="3">
        <v>5</v>
      </c>
      <c r="F136" s="4" t="str">
        <f>HYPERLINK("http://141.218.60.56/~jnz1568/getInfo.php?workbook=16_14.xlsx&amp;sheet=U0&amp;row=136&amp;col=6&amp;number=3.8&amp;sourceID=50","3.8")</f>
        <v>3.8</v>
      </c>
      <c r="G136" s="4" t="str">
        <f>HYPERLINK("http://141.218.60.56/~jnz1568/getInfo.php?workbook=16_14.xlsx&amp;sheet=U0&amp;row=136&amp;col=7&amp;number=0.504&amp;sourceID=50","0.504")</f>
        <v>0.504</v>
      </c>
      <c r="H136" s="4" t="str">
        <f>HYPERLINK("http://141.218.60.56/~jnz1568/getInfo.php?workbook=16_14.xlsx&amp;sheet=U0&amp;row=136&amp;col=8&amp;number=3.8&amp;sourceID=51","3.8")</f>
        <v>3.8</v>
      </c>
      <c r="I136" s="4" t="str">
        <f>HYPERLINK("http://141.218.60.56/~jnz1568/getInfo.php?workbook=16_14.xlsx&amp;sheet=U0&amp;row=136&amp;col=9&amp;number=0.6093&amp;sourceID=51","0.6093")</f>
        <v>0.6093</v>
      </c>
      <c r="J136" s="4" t="str">
        <f>HYPERLINK("http://141.218.60.56/~jnz1568/getInfo.php?workbook=16_14.xlsx&amp;sheet=U0&amp;row=136&amp;col=10&amp;number=3.954&amp;sourceID=52","3.954")</f>
        <v>3.954</v>
      </c>
      <c r="K136" s="4" t="str">
        <f>HYPERLINK("http://141.218.60.56/~jnz1568/getInfo.php?workbook=16_14.xlsx&amp;sheet=U0&amp;row=136&amp;col=11&amp;number=0.7886&amp;sourceID=52","0.7886")</f>
        <v>0.7886</v>
      </c>
    </row>
    <row r="137" spans="1:11">
      <c r="A137" s="3"/>
      <c r="B137" s="3"/>
      <c r="C137" s="3"/>
      <c r="D137" s="3"/>
      <c r="E137" s="3">
        <v>6</v>
      </c>
      <c r="F137" s="4" t="str">
        <f>HYPERLINK("http://141.218.60.56/~jnz1568/getInfo.php?workbook=16_14.xlsx&amp;sheet=U0&amp;row=137&amp;col=6&amp;number=4&amp;sourceID=50","4")</f>
        <v>4</v>
      </c>
      <c r="G137" s="4" t="str">
        <f>HYPERLINK("http://141.218.60.56/~jnz1568/getInfo.php?workbook=16_14.xlsx&amp;sheet=U0&amp;row=137&amp;col=7&amp;number=0.545&amp;sourceID=50","0.545")</f>
        <v>0.545</v>
      </c>
      <c r="H137" s="4" t="str">
        <f>HYPERLINK("http://141.218.60.56/~jnz1568/getInfo.php?workbook=16_14.xlsx&amp;sheet=U0&amp;row=137&amp;col=8&amp;number=4&amp;sourceID=51","4")</f>
        <v>4</v>
      </c>
      <c r="I137" s="4" t="str">
        <f>HYPERLINK("http://141.218.60.56/~jnz1568/getInfo.php?workbook=16_14.xlsx&amp;sheet=U0&amp;row=137&amp;col=9&amp;number=0.6097&amp;sourceID=51","0.6097")</f>
        <v>0.6097</v>
      </c>
      <c r="J137" s="4" t="str">
        <f>HYPERLINK("http://141.218.60.56/~jnz1568/getInfo.php?workbook=16_14.xlsx&amp;sheet=U0&amp;row=137&amp;col=10&amp;number=4&amp;sourceID=52","4")</f>
        <v>4</v>
      </c>
      <c r="K137" s="4" t="str">
        <f>HYPERLINK("http://141.218.60.56/~jnz1568/getInfo.php?workbook=16_14.xlsx&amp;sheet=U0&amp;row=137&amp;col=11&amp;number=0.7957&amp;sourceID=52","0.7957")</f>
        <v>0.7957</v>
      </c>
    </row>
    <row r="138" spans="1:11">
      <c r="A138" s="3"/>
      <c r="B138" s="3"/>
      <c r="C138" s="3"/>
      <c r="D138" s="3"/>
      <c r="E138" s="3">
        <v>7</v>
      </c>
      <c r="F138" s="4" t="str">
        <f>HYPERLINK("http://141.218.60.56/~jnz1568/getInfo.php?workbook=16_14.xlsx&amp;sheet=U0&amp;row=138&amp;col=6&amp;number=4.2&amp;sourceID=50","4.2")</f>
        <v>4.2</v>
      </c>
      <c r="G138" s="4" t="str">
        <f>HYPERLINK("http://141.218.60.56/~jnz1568/getInfo.php?workbook=16_14.xlsx&amp;sheet=U0&amp;row=138&amp;col=7&amp;number=0.585&amp;sourceID=50","0.585")</f>
        <v>0.585</v>
      </c>
      <c r="H138" s="4" t="str">
        <f>HYPERLINK("http://141.218.60.56/~jnz1568/getInfo.php?workbook=16_14.xlsx&amp;sheet=U0&amp;row=138&amp;col=8&amp;number=4.2&amp;sourceID=51","4.2")</f>
        <v>4.2</v>
      </c>
      <c r="I138" s="4" t="str">
        <f>HYPERLINK("http://141.218.60.56/~jnz1568/getInfo.php?workbook=16_14.xlsx&amp;sheet=U0&amp;row=138&amp;col=9&amp;number=0.6241&amp;sourceID=51","0.6241")</f>
        <v>0.6241</v>
      </c>
      <c r="J138" s="4" t="str">
        <f>HYPERLINK("http://141.218.60.56/~jnz1568/getInfo.php?workbook=16_14.xlsx&amp;sheet=U0&amp;row=138&amp;col=10&amp;number=4.041&amp;sourceID=52","4.041")</f>
        <v>4.041</v>
      </c>
      <c r="K138" s="4" t="str">
        <f>HYPERLINK("http://141.218.60.56/~jnz1568/getInfo.php?workbook=16_14.xlsx&amp;sheet=U0&amp;row=138&amp;col=11&amp;number=0.8011&amp;sourceID=52","0.8011")</f>
        <v>0.8011</v>
      </c>
    </row>
    <row r="139" spans="1:11">
      <c r="A139" s="3"/>
      <c r="B139" s="3"/>
      <c r="C139" s="3"/>
      <c r="D139" s="3"/>
      <c r="E139" s="3">
        <v>8</v>
      </c>
      <c r="F139" s="4" t="str">
        <f>HYPERLINK("http://141.218.60.56/~jnz1568/getInfo.php?workbook=16_14.xlsx&amp;sheet=U0&amp;row=139&amp;col=6&amp;number=4.4&amp;sourceID=50","4.4")</f>
        <v>4.4</v>
      </c>
      <c r="G139" s="4" t="str">
        <f>HYPERLINK("http://141.218.60.56/~jnz1568/getInfo.php?workbook=16_14.xlsx&amp;sheet=U0&amp;row=139&amp;col=7&amp;number=0.634&amp;sourceID=50","0.634")</f>
        <v>0.634</v>
      </c>
      <c r="H139" s="4" t="str">
        <f>HYPERLINK("http://141.218.60.56/~jnz1568/getInfo.php?workbook=16_14.xlsx&amp;sheet=U0&amp;row=139&amp;col=8&amp;number=4.4&amp;sourceID=51","4.4")</f>
        <v>4.4</v>
      </c>
      <c r="I139" s="4" t="str">
        <f>HYPERLINK("http://141.218.60.56/~jnz1568/getInfo.php?workbook=16_14.xlsx&amp;sheet=U0&amp;row=139&amp;col=9&amp;number=0.6599&amp;sourceID=51","0.6599")</f>
        <v>0.6599</v>
      </c>
      <c r="J139" s="4" t="str">
        <f>HYPERLINK("http://141.218.60.56/~jnz1568/getInfo.php?workbook=16_14.xlsx&amp;sheet=U0&amp;row=139&amp;col=10&amp;number=4.079&amp;sourceID=52","4.079")</f>
        <v>4.079</v>
      </c>
      <c r="K139" s="4" t="str">
        <f>HYPERLINK("http://141.218.60.56/~jnz1568/getInfo.php?workbook=16_14.xlsx&amp;sheet=U0&amp;row=139&amp;col=11&amp;number=0.8052&amp;sourceID=52","0.8052")</f>
        <v>0.8052</v>
      </c>
    </row>
    <row r="140" spans="1:11">
      <c r="A140" s="3"/>
      <c r="B140" s="3"/>
      <c r="C140" s="3"/>
      <c r="D140" s="3"/>
      <c r="E140" s="3">
        <v>9</v>
      </c>
      <c r="F140" s="4" t="str">
        <f>HYPERLINK("http://141.218.60.56/~jnz1568/getInfo.php?workbook=16_14.xlsx&amp;sheet=U0&amp;row=140&amp;col=6&amp;number=4.6&amp;sourceID=50","4.6")</f>
        <v>4.6</v>
      </c>
      <c r="G140" s="4" t="str">
        <f>HYPERLINK("http://141.218.60.56/~jnz1568/getInfo.php?workbook=16_14.xlsx&amp;sheet=U0&amp;row=140&amp;col=7&amp;number=0.673&amp;sourceID=50","0.673")</f>
        <v>0.673</v>
      </c>
      <c r="H140" s="4" t="str">
        <f>HYPERLINK("http://141.218.60.56/~jnz1568/getInfo.php?workbook=16_14.xlsx&amp;sheet=U0&amp;row=140&amp;col=8&amp;number=4.6&amp;sourceID=51","4.6")</f>
        <v>4.6</v>
      </c>
      <c r="I140" s="4" t="str">
        <f>HYPERLINK("http://141.218.60.56/~jnz1568/getInfo.php?workbook=16_14.xlsx&amp;sheet=U0&amp;row=140&amp;col=9&amp;number=0.6987&amp;sourceID=51","0.6987")</f>
        <v>0.6987</v>
      </c>
      <c r="J140" s="4" t="str">
        <f>HYPERLINK("http://141.218.60.56/~jnz1568/getInfo.php?workbook=16_14.xlsx&amp;sheet=U0&amp;row=140&amp;col=10&amp;number=4.114&amp;sourceID=52","4.114")</f>
        <v>4.114</v>
      </c>
      <c r="K140" s="4" t="str">
        <f>HYPERLINK("http://141.218.60.56/~jnz1568/getInfo.php?workbook=16_14.xlsx&amp;sheet=U0&amp;row=140&amp;col=11&amp;number=0.8084&amp;sourceID=52","0.8084")</f>
        <v>0.8084</v>
      </c>
    </row>
    <row r="141" spans="1:11">
      <c r="A141" s="3"/>
      <c r="B141" s="3"/>
      <c r="C141" s="3"/>
      <c r="D141" s="3"/>
      <c r="E141" s="3">
        <v>10</v>
      </c>
      <c r="F141" s="4" t="str">
        <f>HYPERLINK("http://141.218.60.56/~jnz1568/getInfo.php?workbook=16_14.xlsx&amp;sheet=U0&amp;row=141&amp;col=6&amp;number=4.8&amp;sourceID=50","4.8")</f>
        <v>4.8</v>
      </c>
      <c r="G141" s="4" t="str">
        <f>HYPERLINK("http://141.218.60.56/~jnz1568/getInfo.php?workbook=16_14.xlsx&amp;sheet=U0&amp;row=141&amp;col=7&amp;number=0.666&amp;sourceID=50","0.666")</f>
        <v>0.666</v>
      </c>
      <c r="H141" s="4" t="str">
        <f>HYPERLINK("http://141.218.60.56/~jnz1568/getInfo.php?workbook=16_14.xlsx&amp;sheet=U0&amp;row=141&amp;col=8&amp;number=4.8&amp;sourceID=51","4.8")</f>
        <v>4.8</v>
      </c>
      <c r="I141" s="4" t="str">
        <f>HYPERLINK("http://141.218.60.56/~jnz1568/getInfo.php?workbook=16_14.xlsx&amp;sheet=U0&amp;row=141&amp;col=9&amp;number=0.6973&amp;sourceID=51","0.6973")</f>
        <v>0.6973</v>
      </c>
      <c r="J141" s="4" t="str">
        <f>HYPERLINK("http://141.218.60.56/~jnz1568/getInfo.php?workbook=16_14.xlsx&amp;sheet=U0&amp;row=141&amp;col=10&amp;number=4.146&amp;sourceID=52","4.146")</f>
        <v>4.146</v>
      </c>
      <c r="K141" s="4" t="str">
        <f>HYPERLINK("http://141.218.60.56/~jnz1568/getInfo.php?workbook=16_14.xlsx&amp;sheet=U0&amp;row=141&amp;col=11&amp;number=0.8111&amp;sourceID=52","0.8111")</f>
        <v>0.8111</v>
      </c>
    </row>
    <row r="142" spans="1:11">
      <c r="A142" s="3"/>
      <c r="B142" s="3"/>
      <c r="C142" s="3"/>
      <c r="D142" s="3"/>
      <c r="E142" s="3">
        <v>11</v>
      </c>
      <c r="F142" s="4" t="str">
        <f>HYPERLINK("http://141.218.60.56/~jnz1568/getInfo.php?workbook=16_14.xlsx&amp;sheet=U0&amp;row=142&amp;col=6&amp;number=5&amp;sourceID=50","5")</f>
        <v>5</v>
      </c>
      <c r="G142" s="4" t="str">
        <f>HYPERLINK("http://141.218.60.56/~jnz1568/getInfo.php?workbook=16_14.xlsx&amp;sheet=U0&amp;row=142&amp;col=7&amp;number=0.599&amp;sourceID=50","0.599")</f>
        <v>0.599</v>
      </c>
      <c r="H142" s="4" t="str">
        <f>HYPERLINK("http://141.218.60.56/~jnz1568/getInfo.php?workbook=16_14.xlsx&amp;sheet=U0&amp;row=142&amp;col=8&amp;number=5&amp;sourceID=51","5")</f>
        <v>5</v>
      </c>
      <c r="I142" s="4" t="str">
        <f>HYPERLINK("http://141.218.60.56/~jnz1568/getInfo.php?workbook=16_14.xlsx&amp;sheet=U0&amp;row=142&amp;col=9&amp;number=0.6359&amp;sourceID=51","0.6359")</f>
        <v>0.6359</v>
      </c>
      <c r="J142" s="4" t="str">
        <f>HYPERLINK("http://141.218.60.56/~jnz1568/getInfo.php?workbook=16_14.xlsx&amp;sheet=U0&amp;row=142&amp;col=10&amp;number=4.176&amp;sourceID=52","4.176")</f>
        <v>4.176</v>
      </c>
      <c r="K142" s="4" t="str">
        <f>HYPERLINK("http://141.218.60.56/~jnz1568/getInfo.php?workbook=16_14.xlsx&amp;sheet=U0&amp;row=142&amp;col=11&amp;number=0.8132&amp;sourceID=52","0.8132")</f>
        <v>0.8132</v>
      </c>
    </row>
    <row r="143" spans="1:11">
      <c r="A143" s="3"/>
      <c r="B143" s="3"/>
      <c r="C143" s="3"/>
      <c r="D143" s="3"/>
      <c r="E143" s="3">
        <v>12</v>
      </c>
      <c r="F143" s="4" t="str">
        <f>HYPERLINK("http://141.218.60.56/~jnz1568/getInfo.php?workbook=16_14.xlsx&amp;sheet=U0&amp;row=143&amp;col=6&amp;number=5.2&amp;sourceID=50","5.2")</f>
        <v>5.2</v>
      </c>
      <c r="G143" s="4" t="str">
        <f>HYPERLINK("http://141.218.60.56/~jnz1568/getInfo.php?workbook=16_14.xlsx&amp;sheet=U0&amp;row=143&amp;col=7&amp;number=0.494&amp;sourceID=50","0.494")</f>
        <v>0.494</v>
      </c>
      <c r="H143" s="4" t="str">
        <f>HYPERLINK("http://141.218.60.56/~jnz1568/getInfo.php?workbook=16_14.xlsx&amp;sheet=U0&amp;row=143&amp;col=8&amp;number=&amp;sourceID=51","")</f>
        <v/>
      </c>
      <c r="I143" s="4" t="str">
        <f>HYPERLINK("http://141.218.60.56/~jnz1568/getInfo.php?workbook=16_14.xlsx&amp;sheet=U0&amp;row=143&amp;col=9&amp;number=&amp;sourceID=51","")</f>
        <v/>
      </c>
      <c r="J143" s="4" t="str">
        <f>HYPERLINK("http://141.218.60.56/~jnz1568/getInfo.php?workbook=16_14.xlsx&amp;sheet=U0&amp;row=143&amp;col=10&amp;number=4.204&amp;sourceID=52","4.204")</f>
        <v>4.204</v>
      </c>
      <c r="K143" s="4" t="str">
        <f>HYPERLINK("http://141.218.60.56/~jnz1568/getInfo.php?workbook=16_14.xlsx&amp;sheet=U0&amp;row=143&amp;col=11&amp;number=0.8151&amp;sourceID=52","0.8151")</f>
        <v>0.8151</v>
      </c>
    </row>
    <row r="144" spans="1:11">
      <c r="A144" s="3"/>
      <c r="B144" s="3"/>
      <c r="C144" s="3"/>
      <c r="D144" s="3"/>
      <c r="E144" s="3">
        <v>13</v>
      </c>
      <c r="F144" s="4" t="str">
        <f>HYPERLINK("http://141.218.60.56/~jnz1568/getInfo.php?workbook=16_14.xlsx&amp;sheet=U0&amp;row=144&amp;col=6&amp;number=5.4&amp;sourceID=50","5.4")</f>
        <v>5.4</v>
      </c>
      <c r="G144" s="4" t="str">
        <f>HYPERLINK("http://141.218.60.56/~jnz1568/getInfo.php?workbook=16_14.xlsx&amp;sheet=U0&amp;row=144&amp;col=7&amp;number=0.38&amp;sourceID=50","0.38")</f>
        <v>0.38</v>
      </c>
      <c r="H144" s="4" t="str">
        <f>HYPERLINK("http://141.218.60.56/~jnz1568/getInfo.php?workbook=16_14.xlsx&amp;sheet=U0&amp;row=144&amp;col=8&amp;number=&amp;sourceID=51","")</f>
        <v/>
      </c>
      <c r="I144" s="4" t="str">
        <f>HYPERLINK("http://141.218.60.56/~jnz1568/getInfo.php?workbook=16_14.xlsx&amp;sheet=U0&amp;row=144&amp;col=9&amp;number=&amp;sourceID=51","")</f>
        <v/>
      </c>
      <c r="J144" s="4" t="str">
        <f>HYPERLINK("http://141.218.60.56/~jnz1568/getInfo.php?workbook=16_14.xlsx&amp;sheet=U0&amp;row=144&amp;col=10&amp;number=4.23&amp;sourceID=52","4.23")</f>
        <v>4.23</v>
      </c>
      <c r="K144" s="4" t="str">
        <f>HYPERLINK("http://141.218.60.56/~jnz1568/getInfo.php?workbook=16_14.xlsx&amp;sheet=U0&amp;row=144&amp;col=11&amp;number=0.8167&amp;sourceID=52","0.8167")</f>
        <v>0.8167</v>
      </c>
    </row>
    <row r="145" spans="1:11">
      <c r="A145" s="3"/>
      <c r="B145" s="3"/>
      <c r="C145" s="3"/>
      <c r="D145" s="3"/>
      <c r="E145" s="3">
        <v>14</v>
      </c>
      <c r="F145" s="4" t="str">
        <f>HYPERLINK("http://141.218.60.56/~jnz1568/getInfo.php?workbook=16_14.xlsx&amp;sheet=U0&amp;row=145&amp;col=6&amp;number=5.6&amp;sourceID=50","5.6")</f>
        <v>5.6</v>
      </c>
      <c r="G145" s="4" t="str">
        <f>HYPERLINK("http://141.218.60.56/~jnz1568/getInfo.php?workbook=16_14.xlsx&amp;sheet=U0&amp;row=145&amp;col=7&amp;number=0.277&amp;sourceID=50","0.277")</f>
        <v>0.277</v>
      </c>
      <c r="H145" s="4" t="str">
        <f>HYPERLINK("http://141.218.60.56/~jnz1568/getInfo.php?workbook=16_14.xlsx&amp;sheet=U0&amp;row=145&amp;col=8&amp;number=&amp;sourceID=51","")</f>
        <v/>
      </c>
      <c r="I145" s="4" t="str">
        <f>HYPERLINK("http://141.218.60.56/~jnz1568/getInfo.php?workbook=16_14.xlsx&amp;sheet=U0&amp;row=145&amp;col=9&amp;number=&amp;sourceID=51","")</f>
        <v/>
      </c>
      <c r="J145" s="4" t="str">
        <f>HYPERLINK("http://141.218.60.56/~jnz1568/getInfo.php?workbook=16_14.xlsx&amp;sheet=U0&amp;row=145&amp;col=10&amp;number=4.255&amp;sourceID=52","4.255")</f>
        <v>4.255</v>
      </c>
      <c r="K145" s="4" t="str">
        <f>HYPERLINK("http://141.218.60.56/~jnz1568/getInfo.php?workbook=16_14.xlsx&amp;sheet=U0&amp;row=145&amp;col=11&amp;number=0.8181&amp;sourceID=52","0.8181")</f>
        <v>0.8181</v>
      </c>
    </row>
    <row r="146" spans="1:11">
      <c r="A146" s="3"/>
      <c r="B146" s="3"/>
      <c r="C146" s="3"/>
      <c r="D146" s="3"/>
      <c r="E146" s="3">
        <v>15</v>
      </c>
      <c r="F146" s="4" t="str">
        <f>HYPERLINK("http://141.218.60.56/~jnz1568/getInfo.php?workbook=16_14.xlsx&amp;sheet=U0&amp;row=146&amp;col=6&amp;number=5.8&amp;sourceID=50","5.8")</f>
        <v>5.8</v>
      </c>
      <c r="G146" s="4" t="str">
        <f>HYPERLINK("http://141.218.60.56/~jnz1568/getInfo.php?workbook=16_14.xlsx&amp;sheet=U0&amp;row=146&amp;col=7&amp;number=0.195&amp;sourceID=50","0.195")</f>
        <v>0.195</v>
      </c>
      <c r="H146" s="4" t="str">
        <f>HYPERLINK("http://141.218.60.56/~jnz1568/getInfo.php?workbook=16_14.xlsx&amp;sheet=U0&amp;row=146&amp;col=8&amp;number=&amp;sourceID=51","")</f>
        <v/>
      </c>
      <c r="I146" s="4" t="str">
        <f>HYPERLINK("http://141.218.60.56/~jnz1568/getInfo.php?workbook=16_14.xlsx&amp;sheet=U0&amp;row=146&amp;col=9&amp;number=&amp;sourceID=51","")</f>
        <v/>
      </c>
      <c r="J146" s="4" t="str">
        <f>HYPERLINK("http://141.218.60.56/~jnz1568/getInfo.php?workbook=16_14.xlsx&amp;sheet=U0&amp;row=146&amp;col=10&amp;number=4.279&amp;sourceID=52","4.279")</f>
        <v>4.279</v>
      </c>
      <c r="K146" s="4" t="str">
        <f>HYPERLINK("http://141.218.60.56/~jnz1568/getInfo.php?workbook=16_14.xlsx&amp;sheet=U0&amp;row=146&amp;col=11&amp;number=0.8194&amp;sourceID=52","0.8194")</f>
        <v>0.8194</v>
      </c>
    </row>
    <row r="147" spans="1:11">
      <c r="A147" s="3"/>
      <c r="B147" s="3"/>
      <c r="C147" s="3"/>
      <c r="D147" s="3"/>
      <c r="E147" s="3">
        <v>16</v>
      </c>
      <c r="F147" s="4" t="str">
        <f>HYPERLINK("http://141.218.60.56/~jnz1568/getInfo.php?workbook=16_14.xlsx&amp;sheet=U0&amp;row=147&amp;col=6&amp;number=6&amp;sourceID=50","6")</f>
        <v>6</v>
      </c>
      <c r="G147" s="4" t="str">
        <f>HYPERLINK("http://141.218.60.56/~jnz1568/getInfo.php?workbook=16_14.xlsx&amp;sheet=U0&amp;row=147&amp;col=7&amp;number=0.133&amp;sourceID=50","0.133")</f>
        <v>0.133</v>
      </c>
      <c r="H147" s="4" t="str">
        <f>HYPERLINK("http://141.218.60.56/~jnz1568/getInfo.php?workbook=16_14.xlsx&amp;sheet=U0&amp;row=147&amp;col=8&amp;number=&amp;sourceID=51","")</f>
        <v/>
      </c>
      <c r="I147" s="4" t="str">
        <f>HYPERLINK("http://141.218.60.56/~jnz1568/getInfo.php?workbook=16_14.xlsx&amp;sheet=U0&amp;row=147&amp;col=9&amp;number=&amp;sourceID=51","")</f>
        <v/>
      </c>
      <c r="J147" s="4" t="str">
        <f>HYPERLINK("http://141.218.60.56/~jnz1568/getInfo.php?workbook=16_14.xlsx&amp;sheet=U0&amp;row=147&amp;col=10&amp;number=4.301&amp;sourceID=52","4.301")</f>
        <v>4.301</v>
      </c>
      <c r="K147" s="4" t="str">
        <f>HYPERLINK("http://141.218.60.56/~jnz1568/getInfo.php?workbook=16_14.xlsx&amp;sheet=U0&amp;row=147&amp;col=11&amp;number=0.8206&amp;sourceID=52","0.8206")</f>
        <v>0.8206</v>
      </c>
    </row>
    <row r="148" spans="1:11">
      <c r="A148" s="3">
        <v>16</v>
      </c>
      <c r="B148" s="3">
        <v>14</v>
      </c>
      <c r="C148" s="3">
        <v>5</v>
      </c>
      <c r="D148" s="3">
        <v>4</v>
      </c>
      <c r="E148" s="3">
        <v>1</v>
      </c>
      <c r="F148" s="4" t="str">
        <f>HYPERLINK("http://141.218.60.56/~jnz1568/getInfo.php?workbook=16_14.xlsx&amp;sheet=U0&amp;row=148&amp;col=6&amp;number=3&amp;sourceID=50","3")</f>
        <v>3</v>
      </c>
      <c r="G148" s="4" t="str">
        <f>HYPERLINK("http://141.218.60.56/~jnz1568/getInfo.php?workbook=16_14.xlsx&amp;sheet=U0&amp;row=148&amp;col=7&amp;number=0.863&amp;sourceID=50","0.863")</f>
        <v>0.863</v>
      </c>
      <c r="H148" s="4" t="str">
        <f>HYPERLINK("http://141.218.60.56/~jnz1568/getInfo.php?workbook=16_14.xlsx&amp;sheet=U0&amp;row=148&amp;col=8&amp;number=3&amp;sourceID=51","3")</f>
        <v>3</v>
      </c>
      <c r="I148" s="4" t="str">
        <f>HYPERLINK("http://141.218.60.56/~jnz1568/getInfo.php?workbook=16_14.xlsx&amp;sheet=U0&amp;row=148&amp;col=9&amp;number=0.9934&amp;sourceID=51","0.9934")</f>
        <v>0.9934</v>
      </c>
      <c r="J148" s="4" t="str">
        <f>HYPERLINK("http://141.218.60.56/~jnz1568/getInfo.php?workbook=16_14.xlsx&amp;sheet=U0&amp;row=148&amp;col=10&amp;number=3.699&amp;sourceID=52","3.699")</f>
        <v>3.699</v>
      </c>
      <c r="K148" s="4" t="str">
        <f>HYPERLINK("http://141.218.60.56/~jnz1568/getInfo.php?workbook=16_14.xlsx&amp;sheet=U0&amp;row=148&amp;col=11&amp;number=1.29&amp;sourceID=52","1.29")</f>
        <v>1.29</v>
      </c>
    </row>
    <row r="149" spans="1:11">
      <c r="A149" s="3"/>
      <c r="B149" s="3"/>
      <c r="C149" s="3"/>
      <c r="D149" s="3"/>
      <c r="E149" s="3">
        <v>2</v>
      </c>
      <c r="F149" s="4" t="str">
        <f>HYPERLINK("http://141.218.60.56/~jnz1568/getInfo.php?workbook=16_14.xlsx&amp;sheet=U0&amp;row=149&amp;col=6&amp;number=3.2&amp;sourceID=50","3.2")</f>
        <v>3.2</v>
      </c>
      <c r="G149" s="4" t="str">
        <f>HYPERLINK("http://141.218.60.56/~jnz1568/getInfo.php?workbook=16_14.xlsx&amp;sheet=U0&amp;row=149&amp;col=7&amp;number=0.866&amp;sourceID=50","0.866")</f>
        <v>0.866</v>
      </c>
      <c r="H149" s="4" t="str">
        <f>HYPERLINK("http://141.218.60.56/~jnz1568/getInfo.php?workbook=16_14.xlsx&amp;sheet=U0&amp;row=149&amp;col=8&amp;number=3.2&amp;sourceID=51","3.2")</f>
        <v>3.2</v>
      </c>
      <c r="I149" s="4" t="str">
        <f>HYPERLINK("http://141.218.60.56/~jnz1568/getInfo.php?workbook=16_14.xlsx&amp;sheet=U0&amp;row=149&amp;col=9&amp;number=0.9722&amp;sourceID=51","0.9722")</f>
        <v>0.9722</v>
      </c>
      <c r="J149" s="4" t="str">
        <f>HYPERLINK("http://141.218.60.56/~jnz1568/getInfo.php?workbook=16_14.xlsx&amp;sheet=U0&amp;row=149&amp;col=10&amp;number=3.778&amp;sourceID=52","3.778")</f>
        <v>3.778</v>
      </c>
      <c r="K149" s="4" t="str">
        <f>HYPERLINK("http://141.218.60.56/~jnz1568/getInfo.php?workbook=16_14.xlsx&amp;sheet=U0&amp;row=149&amp;col=11&amp;number=1.427&amp;sourceID=52","1.427")</f>
        <v>1.427</v>
      </c>
    </row>
    <row r="150" spans="1:11">
      <c r="A150" s="3"/>
      <c r="B150" s="3"/>
      <c r="C150" s="3"/>
      <c r="D150" s="3"/>
      <c r="E150" s="3">
        <v>3</v>
      </c>
      <c r="F150" s="4" t="str">
        <f>HYPERLINK("http://141.218.60.56/~jnz1568/getInfo.php?workbook=16_14.xlsx&amp;sheet=U0&amp;row=150&amp;col=6&amp;number=3.4&amp;sourceID=50","3.4")</f>
        <v>3.4</v>
      </c>
      <c r="G150" s="4" t="str">
        <f>HYPERLINK("http://141.218.60.56/~jnz1568/getInfo.php?workbook=16_14.xlsx&amp;sheet=U0&amp;row=150&amp;col=7&amp;number=0.872&amp;sourceID=50","0.872")</f>
        <v>0.872</v>
      </c>
      <c r="H150" s="4" t="str">
        <f>HYPERLINK("http://141.218.60.56/~jnz1568/getInfo.php?workbook=16_14.xlsx&amp;sheet=U0&amp;row=150&amp;col=8&amp;number=3.4&amp;sourceID=51","3.4")</f>
        <v>3.4</v>
      </c>
      <c r="I150" s="4" t="str">
        <f>HYPERLINK("http://141.218.60.56/~jnz1568/getInfo.php?workbook=16_14.xlsx&amp;sheet=U0&amp;row=150&amp;col=9&amp;number=0.9431&amp;sourceID=51","0.9431")</f>
        <v>0.9431</v>
      </c>
      <c r="J150" s="4" t="str">
        <f>HYPERLINK("http://141.218.60.56/~jnz1568/getInfo.php?workbook=16_14.xlsx&amp;sheet=U0&amp;row=150&amp;col=10&amp;number=3.845&amp;sourceID=52","3.845")</f>
        <v>3.845</v>
      </c>
      <c r="K150" s="4" t="str">
        <f>HYPERLINK("http://141.218.60.56/~jnz1568/getInfo.php?workbook=16_14.xlsx&amp;sheet=U0&amp;row=150&amp;col=11&amp;number=1.541&amp;sourceID=52","1.541")</f>
        <v>1.541</v>
      </c>
    </row>
    <row r="151" spans="1:11">
      <c r="A151" s="3"/>
      <c r="B151" s="3"/>
      <c r="C151" s="3"/>
      <c r="D151" s="3"/>
      <c r="E151" s="3">
        <v>4</v>
      </c>
      <c r="F151" s="4" t="str">
        <f>HYPERLINK("http://141.218.60.56/~jnz1568/getInfo.php?workbook=16_14.xlsx&amp;sheet=U0&amp;row=151&amp;col=6&amp;number=3.6&amp;sourceID=50","3.6")</f>
        <v>3.6</v>
      </c>
      <c r="G151" s="4" t="str">
        <f>HYPERLINK("http://141.218.60.56/~jnz1568/getInfo.php?workbook=16_14.xlsx&amp;sheet=U0&amp;row=151&amp;col=7&amp;number=0.95&amp;sourceID=50","0.95")</f>
        <v>0.95</v>
      </c>
      <c r="H151" s="4" t="str">
        <f>HYPERLINK("http://141.218.60.56/~jnz1568/getInfo.php?workbook=16_14.xlsx&amp;sheet=U0&amp;row=151&amp;col=8&amp;number=3.6&amp;sourceID=51","3.6")</f>
        <v>3.6</v>
      </c>
      <c r="I151" s="4" t="str">
        <f>HYPERLINK("http://141.218.60.56/~jnz1568/getInfo.php?workbook=16_14.xlsx&amp;sheet=U0&amp;row=151&amp;col=9&amp;number=0.9556&amp;sourceID=51","0.9556")</f>
        <v>0.9556</v>
      </c>
      <c r="J151" s="4" t="str">
        <f>HYPERLINK("http://141.218.60.56/~jnz1568/getInfo.php?workbook=16_14.xlsx&amp;sheet=U0&amp;row=151&amp;col=10&amp;number=3.903&amp;sourceID=52","3.903")</f>
        <v>3.903</v>
      </c>
      <c r="K151" s="4" t="str">
        <f>HYPERLINK("http://141.218.60.56/~jnz1568/getInfo.php?workbook=16_14.xlsx&amp;sheet=U0&amp;row=151&amp;col=11&amp;number=1.633&amp;sourceID=52","1.633")</f>
        <v>1.633</v>
      </c>
    </row>
    <row r="152" spans="1:11">
      <c r="A152" s="3"/>
      <c r="B152" s="3"/>
      <c r="C152" s="3"/>
      <c r="D152" s="3"/>
      <c r="E152" s="3">
        <v>5</v>
      </c>
      <c r="F152" s="4" t="str">
        <f>HYPERLINK("http://141.218.60.56/~jnz1568/getInfo.php?workbook=16_14.xlsx&amp;sheet=U0&amp;row=152&amp;col=6&amp;number=3.8&amp;sourceID=50","3.8")</f>
        <v>3.8</v>
      </c>
      <c r="G152" s="4" t="str">
        <f>HYPERLINK("http://141.218.60.56/~jnz1568/getInfo.php?workbook=16_14.xlsx&amp;sheet=U0&amp;row=152&amp;col=7&amp;number=1.14&amp;sourceID=50","1.14")</f>
        <v>1.14</v>
      </c>
      <c r="H152" s="4" t="str">
        <f>HYPERLINK("http://141.218.60.56/~jnz1568/getInfo.php?workbook=16_14.xlsx&amp;sheet=U0&amp;row=152&amp;col=8&amp;number=3.8&amp;sourceID=51","3.8")</f>
        <v>3.8</v>
      </c>
      <c r="I152" s="4" t="str">
        <f>HYPERLINK("http://141.218.60.56/~jnz1568/getInfo.php?workbook=16_14.xlsx&amp;sheet=U0&amp;row=152&amp;col=9&amp;number=1.076&amp;sourceID=51","1.076")</f>
        <v>1.076</v>
      </c>
      <c r="J152" s="4" t="str">
        <f>HYPERLINK("http://141.218.60.56/~jnz1568/getInfo.php?workbook=16_14.xlsx&amp;sheet=U0&amp;row=152&amp;col=10&amp;number=3.954&amp;sourceID=52","3.954")</f>
        <v>3.954</v>
      </c>
      <c r="K152" s="4" t="str">
        <f>HYPERLINK("http://141.218.60.56/~jnz1568/getInfo.php?workbook=16_14.xlsx&amp;sheet=U0&amp;row=152&amp;col=11&amp;number=1.709&amp;sourceID=52","1.709")</f>
        <v>1.709</v>
      </c>
    </row>
    <row r="153" spans="1:11">
      <c r="A153" s="3"/>
      <c r="B153" s="3"/>
      <c r="C153" s="3"/>
      <c r="D153" s="3"/>
      <c r="E153" s="3">
        <v>6</v>
      </c>
      <c r="F153" s="4" t="str">
        <f>HYPERLINK("http://141.218.60.56/~jnz1568/getInfo.php?workbook=16_14.xlsx&amp;sheet=U0&amp;row=153&amp;col=6&amp;number=4&amp;sourceID=50","4")</f>
        <v>4</v>
      </c>
      <c r="G153" s="4" t="str">
        <f>HYPERLINK("http://141.218.60.56/~jnz1568/getInfo.php?workbook=16_14.xlsx&amp;sheet=U0&amp;row=153&amp;col=7&amp;number=1.38&amp;sourceID=50","1.38")</f>
        <v>1.38</v>
      </c>
      <c r="H153" s="4" t="str">
        <f>HYPERLINK("http://141.218.60.56/~jnz1568/getInfo.php?workbook=16_14.xlsx&amp;sheet=U0&amp;row=153&amp;col=8&amp;number=4&amp;sourceID=51","4")</f>
        <v>4</v>
      </c>
      <c r="I153" s="4" t="str">
        <f>HYPERLINK("http://141.218.60.56/~jnz1568/getInfo.php?workbook=16_14.xlsx&amp;sheet=U0&amp;row=153&amp;col=9&amp;number=1.291&amp;sourceID=51","1.291")</f>
        <v>1.291</v>
      </c>
      <c r="J153" s="4" t="str">
        <f>HYPERLINK("http://141.218.60.56/~jnz1568/getInfo.php?workbook=16_14.xlsx&amp;sheet=U0&amp;row=153&amp;col=10&amp;number=4&amp;sourceID=52","4")</f>
        <v>4</v>
      </c>
      <c r="K153" s="4" t="str">
        <f>HYPERLINK("http://141.218.60.56/~jnz1568/getInfo.php?workbook=16_14.xlsx&amp;sheet=U0&amp;row=153&amp;col=11&amp;number=1.771&amp;sourceID=52","1.771")</f>
        <v>1.771</v>
      </c>
    </row>
    <row r="154" spans="1:11">
      <c r="A154" s="3"/>
      <c r="B154" s="3"/>
      <c r="C154" s="3"/>
      <c r="D154" s="3"/>
      <c r="E154" s="3">
        <v>7</v>
      </c>
      <c r="F154" s="4" t="str">
        <f>HYPERLINK("http://141.218.60.56/~jnz1568/getInfo.php?workbook=16_14.xlsx&amp;sheet=U0&amp;row=154&amp;col=6&amp;number=4.2&amp;sourceID=50","4.2")</f>
        <v>4.2</v>
      </c>
      <c r="G154" s="4" t="str">
        <f>HYPERLINK("http://141.218.60.56/~jnz1568/getInfo.php?workbook=16_14.xlsx&amp;sheet=U0&amp;row=154&amp;col=7&amp;number=1.6&amp;sourceID=50","1.6")</f>
        <v>1.6</v>
      </c>
      <c r="H154" s="4" t="str">
        <f>HYPERLINK("http://141.218.60.56/~jnz1568/getInfo.php?workbook=16_14.xlsx&amp;sheet=U0&amp;row=154&amp;col=8&amp;number=4.2&amp;sourceID=51","4.2")</f>
        <v>4.2</v>
      </c>
      <c r="I154" s="4" t="str">
        <f>HYPERLINK("http://141.218.60.56/~jnz1568/getInfo.php?workbook=16_14.xlsx&amp;sheet=U0&amp;row=154&amp;col=9&amp;number=1.533&amp;sourceID=51","1.533")</f>
        <v>1.533</v>
      </c>
      <c r="J154" s="4" t="str">
        <f>HYPERLINK("http://141.218.60.56/~jnz1568/getInfo.php?workbook=16_14.xlsx&amp;sheet=U0&amp;row=154&amp;col=10&amp;number=4.041&amp;sourceID=52","4.041")</f>
        <v>4.041</v>
      </c>
      <c r="K154" s="4" t="str">
        <f>HYPERLINK("http://141.218.60.56/~jnz1568/getInfo.php?workbook=16_14.xlsx&amp;sheet=U0&amp;row=154&amp;col=11&amp;number=1.822&amp;sourceID=52","1.822")</f>
        <v>1.822</v>
      </c>
    </row>
    <row r="155" spans="1:11">
      <c r="A155" s="3"/>
      <c r="B155" s="3"/>
      <c r="C155" s="3"/>
      <c r="D155" s="3"/>
      <c r="E155" s="3">
        <v>8</v>
      </c>
      <c r="F155" s="4" t="str">
        <f>HYPERLINK("http://141.218.60.56/~jnz1568/getInfo.php?workbook=16_14.xlsx&amp;sheet=U0&amp;row=155&amp;col=6&amp;number=4.4&amp;sourceID=50","4.4")</f>
        <v>4.4</v>
      </c>
      <c r="G155" s="4" t="str">
        <f>HYPERLINK("http://141.218.60.56/~jnz1568/getInfo.php?workbook=16_14.xlsx&amp;sheet=U0&amp;row=155&amp;col=7&amp;number=1.79&amp;sourceID=50","1.79")</f>
        <v>1.79</v>
      </c>
      <c r="H155" s="4" t="str">
        <f>HYPERLINK("http://141.218.60.56/~jnz1568/getInfo.php?workbook=16_14.xlsx&amp;sheet=U0&amp;row=155&amp;col=8&amp;number=4.4&amp;sourceID=51","4.4")</f>
        <v>4.4</v>
      </c>
      <c r="I155" s="4" t="str">
        <f>HYPERLINK("http://141.218.60.56/~jnz1568/getInfo.php?workbook=16_14.xlsx&amp;sheet=U0&amp;row=155&amp;col=9&amp;number=1.768&amp;sourceID=51","1.768")</f>
        <v>1.768</v>
      </c>
      <c r="J155" s="4" t="str">
        <f>HYPERLINK("http://141.218.60.56/~jnz1568/getInfo.php?workbook=16_14.xlsx&amp;sheet=U0&amp;row=155&amp;col=10&amp;number=4.079&amp;sourceID=52","4.079")</f>
        <v>4.079</v>
      </c>
      <c r="K155" s="4" t="str">
        <f>HYPERLINK("http://141.218.60.56/~jnz1568/getInfo.php?workbook=16_14.xlsx&amp;sheet=U0&amp;row=155&amp;col=11&amp;number=1.866&amp;sourceID=52","1.866")</f>
        <v>1.866</v>
      </c>
    </row>
    <row r="156" spans="1:11">
      <c r="A156" s="3"/>
      <c r="B156" s="3"/>
      <c r="C156" s="3"/>
      <c r="D156" s="3"/>
      <c r="E156" s="3">
        <v>9</v>
      </c>
      <c r="F156" s="4" t="str">
        <f>HYPERLINK("http://141.218.60.56/~jnz1568/getInfo.php?workbook=16_14.xlsx&amp;sheet=U0&amp;row=156&amp;col=6&amp;number=4.6&amp;sourceID=50","4.6")</f>
        <v>4.6</v>
      </c>
      <c r="G156" s="4" t="str">
        <f>HYPERLINK("http://141.218.60.56/~jnz1568/getInfo.php?workbook=16_14.xlsx&amp;sheet=U0&amp;row=156&amp;col=7&amp;number=1.94&amp;sourceID=50","1.94")</f>
        <v>1.94</v>
      </c>
      <c r="H156" s="4" t="str">
        <f>HYPERLINK("http://141.218.60.56/~jnz1568/getInfo.php?workbook=16_14.xlsx&amp;sheet=U0&amp;row=156&amp;col=8&amp;number=4.6&amp;sourceID=51","4.6")</f>
        <v>4.6</v>
      </c>
      <c r="I156" s="4" t="str">
        <f>HYPERLINK("http://141.218.60.56/~jnz1568/getInfo.php?workbook=16_14.xlsx&amp;sheet=U0&amp;row=156&amp;col=9&amp;number=1.959&amp;sourceID=51","1.959")</f>
        <v>1.959</v>
      </c>
      <c r="J156" s="4" t="str">
        <f>HYPERLINK("http://141.218.60.56/~jnz1568/getInfo.php?workbook=16_14.xlsx&amp;sheet=U0&amp;row=156&amp;col=10&amp;number=4.114&amp;sourceID=52","4.114")</f>
        <v>4.114</v>
      </c>
      <c r="K156" s="4" t="str">
        <f>HYPERLINK("http://141.218.60.56/~jnz1568/getInfo.php?workbook=16_14.xlsx&amp;sheet=U0&amp;row=156&amp;col=11&amp;number=1.902&amp;sourceID=52","1.902")</f>
        <v>1.902</v>
      </c>
    </row>
    <row r="157" spans="1:11">
      <c r="A157" s="3"/>
      <c r="B157" s="3"/>
      <c r="C157" s="3"/>
      <c r="D157" s="3"/>
      <c r="E157" s="3">
        <v>10</v>
      </c>
      <c r="F157" s="4" t="str">
        <f>HYPERLINK("http://141.218.60.56/~jnz1568/getInfo.php?workbook=16_14.xlsx&amp;sheet=U0&amp;row=157&amp;col=6&amp;number=4.8&amp;sourceID=50","4.8")</f>
        <v>4.8</v>
      </c>
      <c r="G157" s="4" t="str">
        <f>HYPERLINK("http://141.218.60.56/~jnz1568/getInfo.php?workbook=16_14.xlsx&amp;sheet=U0&amp;row=157&amp;col=7&amp;number=1.98&amp;sourceID=50","1.98")</f>
        <v>1.98</v>
      </c>
      <c r="H157" s="4" t="str">
        <f>HYPERLINK("http://141.218.60.56/~jnz1568/getInfo.php?workbook=16_14.xlsx&amp;sheet=U0&amp;row=157&amp;col=8&amp;number=4.8&amp;sourceID=51","4.8")</f>
        <v>4.8</v>
      </c>
      <c r="I157" s="4" t="str">
        <f>HYPERLINK("http://141.218.60.56/~jnz1568/getInfo.php?workbook=16_14.xlsx&amp;sheet=U0&amp;row=157&amp;col=9&amp;number=2.053&amp;sourceID=51","2.053")</f>
        <v>2.053</v>
      </c>
      <c r="J157" s="4" t="str">
        <f>HYPERLINK("http://141.218.60.56/~jnz1568/getInfo.php?workbook=16_14.xlsx&amp;sheet=U0&amp;row=157&amp;col=10&amp;number=4.146&amp;sourceID=52","4.146")</f>
        <v>4.146</v>
      </c>
      <c r="K157" s="4" t="str">
        <f>HYPERLINK("http://141.218.60.56/~jnz1568/getInfo.php?workbook=16_14.xlsx&amp;sheet=U0&amp;row=157&amp;col=11&amp;number=1.933&amp;sourceID=52","1.933")</f>
        <v>1.933</v>
      </c>
    </row>
    <row r="158" spans="1:11">
      <c r="A158" s="3"/>
      <c r="B158" s="3"/>
      <c r="C158" s="3"/>
      <c r="D158" s="3"/>
      <c r="E158" s="3">
        <v>11</v>
      </c>
      <c r="F158" s="4" t="str">
        <f>HYPERLINK("http://141.218.60.56/~jnz1568/getInfo.php?workbook=16_14.xlsx&amp;sheet=U0&amp;row=158&amp;col=6&amp;number=5&amp;sourceID=50","5")</f>
        <v>5</v>
      </c>
      <c r="G158" s="4" t="str">
        <f>HYPERLINK("http://141.218.60.56/~jnz1568/getInfo.php?workbook=16_14.xlsx&amp;sheet=U0&amp;row=158&amp;col=7&amp;number=1.9&amp;sourceID=50","1.9")</f>
        <v>1.9</v>
      </c>
      <c r="H158" s="4" t="str">
        <f>HYPERLINK("http://141.218.60.56/~jnz1568/getInfo.php?workbook=16_14.xlsx&amp;sheet=U0&amp;row=158&amp;col=8&amp;number=5&amp;sourceID=51","5")</f>
        <v>5</v>
      </c>
      <c r="I158" s="4" t="str">
        <f>HYPERLINK("http://141.218.60.56/~jnz1568/getInfo.php?workbook=16_14.xlsx&amp;sheet=U0&amp;row=158&amp;col=9&amp;number=2.015&amp;sourceID=51","2.015")</f>
        <v>2.015</v>
      </c>
      <c r="J158" s="4" t="str">
        <f>HYPERLINK("http://141.218.60.56/~jnz1568/getInfo.php?workbook=16_14.xlsx&amp;sheet=U0&amp;row=158&amp;col=10&amp;number=4.176&amp;sourceID=52","4.176")</f>
        <v>4.176</v>
      </c>
      <c r="K158" s="4" t="str">
        <f>HYPERLINK("http://141.218.60.56/~jnz1568/getInfo.php?workbook=16_14.xlsx&amp;sheet=U0&amp;row=158&amp;col=11&amp;number=1.961&amp;sourceID=52","1.961")</f>
        <v>1.961</v>
      </c>
    </row>
    <row r="159" spans="1:11">
      <c r="A159" s="3"/>
      <c r="B159" s="3"/>
      <c r="C159" s="3"/>
      <c r="D159" s="3"/>
      <c r="E159" s="3">
        <v>12</v>
      </c>
      <c r="F159" s="4" t="str">
        <f>HYPERLINK("http://141.218.60.56/~jnz1568/getInfo.php?workbook=16_14.xlsx&amp;sheet=U0&amp;row=159&amp;col=6&amp;number=5.2&amp;sourceID=50","5.2")</f>
        <v>5.2</v>
      </c>
      <c r="G159" s="4" t="str">
        <f>HYPERLINK("http://141.218.60.56/~jnz1568/getInfo.php?workbook=16_14.xlsx&amp;sheet=U0&amp;row=159&amp;col=7&amp;number=1.73&amp;sourceID=50","1.73")</f>
        <v>1.73</v>
      </c>
      <c r="H159" s="4" t="str">
        <f>HYPERLINK("http://141.218.60.56/~jnz1568/getInfo.php?workbook=16_14.xlsx&amp;sheet=U0&amp;row=159&amp;col=8&amp;number=&amp;sourceID=51","")</f>
        <v/>
      </c>
      <c r="I159" s="4" t="str">
        <f>HYPERLINK("http://141.218.60.56/~jnz1568/getInfo.php?workbook=16_14.xlsx&amp;sheet=U0&amp;row=159&amp;col=9&amp;number=&amp;sourceID=51","")</f>
        <v/>
      </c>
      <c r="J159" s="4" t="str">
        <f>HYPERLINK("http://141.218.60.56/~jnz1568/getInfo.php?workbook=16_14.xlsx&amp;sheet=U0&amp;row=159&amp;col=10&amp;number=4.204&amp;sourceID=52","4.204")</f>
        <v>4.204</v>
      </c>
      <c r="K159" s="4" t="str">
        <f>HYPERLINK("http://141.218.60.56/~jnz1568/getInfo.php?workbook=16_14.xlsx&amp;sheet=U0&amp;row=159&amp;col=11&amp;number=1.984&amp;sourceID=52","1.984")</f>
        <v>1.984</v>
      </c>
    </row>
    <row r="160" spans="1:11">
      <c r="A160" s="3"/>
      <c r="B160" s="3"/>
      <c r="C160" s="3"/>
      <c r="D160" s="3"/>
      <c r="E160" s="3">
        <v>13</v>
      </c>
      <c r="F160" s="4" t="str">
        <f>HYPERLINK("http://141.218.60.56/~jnz1568/getInfo.php?workbook=16_14.xlsx&amp;sheet=U0&amp;row=160&amp;col=6&amp;number=5.4&amp;sourceID=50","5.4")</f>
        <v>5.4</v>
      </c>
      <c r="G160" s="4" t="str">
        <f>HYPERLINK("http://141.218.60.56/~jnz1568/getInfo.php?workbook=16_14.xlsx&amp;sheet=U0&amp;row=160&amp;col=7&amp;number=1.54&amp;sourceID=50","1.54")</f>
        <v>1.54</v>
      </c>
      <c r="H160" s="4" t="str">
        <f>HYPERLINK("http://141.218.60.56/~jnz1568/getInfo.php?workbook=16_14.xlsx&amp;sheet=U0&amp;row=160&amp;col=8&amp;number=&amp;sourceID=51","")</f>
        <v/>
      </c>
      <c r="I160" s="4" t="str">
        <f>HYPERLINK("http://141.218.60.56/~jnz1568/getInfo.php?workbook=16_14.xlsx&amp;sheet=U0&amp;row=160&amp;col=9&amp;number=&amp;sourceID=51","")</f>
        <v/>
      </c>
      <c r="J160" s="4" t="str">
        <f>HYPERLINK("http://141.218.60.56/~jnz1568/getInfo.php?workbook=16_14.xlsx&amp;sheet=U0&amp;row=160&amp;col=10&amp;number=4.23&amp;sourceID=52","4.23")</f>
        <v>4.23</v>
      </c>
      <c r="K160" s="4" t="str">
        <f>HYPERLINK("http://141.218.60.56/~jnz1568/getInfo.php?workbook=16_14.xlsx&amp;sheet=U0&amp;row=160&amp;col=11&amp;number=2.005&amp;sourceID=52","2.005")</f>
        <v>2.005</v>
      </c>
    </row>
    <row r="161" spans="1:11">
      <c r="A161" s="3"/>
      <c r="B161" s="3"/>
      <c r="C161" s="3"/>
      <c r="D161" s="3"/>
      <c r="E161" s="3">
        <v>14</v>
      </c>
      <c r="F161" s="4" t="str">
        <f>HYPERLINK("http://141.218.60.56/~jnz1568/getInfo.php?workbook=16_14.xlsx&amp;sheet=U0&amp;row=161&amp;col=6&amp;number=5.6&amp;sourceID=50","5.6")</f>
        <v>5.6</v>
      </c>
      <c r="G161" s="4" t="str">
        <f>HYPERLINK("http://141.218.60.56/~jnz1568/getInfo.php?workbook=16_14.xlsx&amp;sheet=U0&amp;row=161&amp;col=7&amp;number=1.35&amp;sourceID=50","1.35")</f>
        <v>1.35</v>
      </c>
      <c r="H161" s="4" t="str">
        <f>HYPERLINK("http://141.218.60.56/~jnz1568/getInfo.php?workbook=16_14.xlsx&amp;sheet=U0&amp;row=161&amp;col=8&amp;number=&amp;sourceID=51","")</f>
        <v/>
      </c>
      <c r="I161" s="4" t="str">
        <f>HYPERLINK("http://141.218.60.56/~jnz1568/getInfo.php?workbook=16_14.xlsx&amp;sheet=U0&amp;row=161&amp;col=9&amp;number=&amp;sourceID=51","")</f>
        <v/>
      </c>
      <c r="J161" s="4" t="str">
        <f>HYPERLINK("http://141.218.60.56/~jnz1568/getInfo.php?workbook=16_14.xlsx&amp;sheet=U0&amp;row=161&amp;col=10&amp;number=4.255&amp;sourceID=52","4.255")</f>
        <v>4.255</v>
      </c>
      <c r="K161" s="4" t="str">
        <f>HYPERLINK("http://141.218.60.56/~jnz1568/getInfo.php?workbook=16_14.xlsx&amp;sheet=U0&amp;row=161&amp;col=11&amp;number=2.024&amp;sourceID=52","2.024")</f>
        <v>2.024</v>
      </c>
    </row>
    <row r="162" spans="1:11">
      <c r="A162" s="3"/>
      <c r="B162" s="3"/>
      <c r="C162" s="3"/>
      <c r="D162" s="3"/>
      <c r="E162" s="3">
        <v>15</v>
      </c>
      <c r="F162" s="4" t="str">
        <f>HYPERLINK("http://141.218.60.56/~jnz1568/getInfo.php?workbook=16_14.xlsx&amp;sheet=U0&amp;row=162&amp;col=6&amp;number=5.8&amp;sourceID=50","5.8")</f>
        <v>5.8</v>
      </c>
      <c r="G162" s="4" t="str">
        <f>HYPERLINK("http://141.218.60.56/~jnz1568/getInfo.php?workbook=16_14.xlsx&amp;sheet=U0&amp;row=162&amp;col=7&amp;number=1.18&amp;sourceID=50","1.18")</f>
        <v>1.18</v>
      </c>
      <c r="H162" s="4" t="str">
        <f>HYPERLINK("http://141.218.60.56/~jnz1568/getInfo.php?workbook=16_14.xlsx&amp;sheet=U0&amp;row=162&amp;col=8&amp;number=&amp;sourceID=51","")</f>
        <v/>
      </c>
      <c r="I162" s="4" t="str">
        <f>HYPERLINK("http://141.218.60.56/~jnz1568/getInfo.php?workbook=16_14.xlsx&amp;sheet=U0&amp;row=162&amp;col=9&amp;number=&amp;sourceID=51","")</f>
        <v/>
      </c>
      <c r="J162" s="4" t="str">
        <f>HYPERLINK("http://141.218.60.56/~jnz1568/getInfo.php?workbook=16_14.xlsx&amp;sheet=U0&amp;row=162&amp;col=10&amp;number=4.279&amp;sourceID=52","4.279")</f>
        <v>4.279</v>
      </c>
      <c r="K162" s="4" t="str">
        <f>HYPERLINK("http://141.218.60.56/~jnz1568/getInfo.php?workbook=16_14.xlsx&amp;sheet=U0&amp;row=162&amp;col=11&amp;number=2.041&amp;sourceID=52","2.041")</f>
        <v>2.041</v>
      </c>
    </row>
    <row r="163" spans="1:11">
      <c r="A163" s="3"/>
      <c r="B163" s="3"/>
      <c r="C163" s="3"/>
      <c r="D163" s="3"/>
      <c r="E163" s="3">
        <v>16</v>
      </c>
      <c r="F163" s="4" t="str">
        <f>HYPERLINK("http://141.218.60.56/~jnz1568/getInfo.php?workbook=16_14.xlsx&amp;sheet=U0&amp;row=163&amp;col=6&amp;number=6&amp;sourceID=50","6")</f>
        <v>6</v>
      </c>
      <c r="G163" s="4" t="str">
        <f>HYPERLINK("http://141.218.60.56/~jnz1568/getInfo.php?workbook=16_14.xlsx&amp;sheet=U0&amp;row=163&amp;col=7&amp;number=1.02&amp;sourceID=50","1.02")</f>
        <v>1.02</v>
      </c>
      <c r="H163" s="4" t="str">
        <f>HYPERLINK("http://141.218.60.56/~jnz1568/getInfo.php?workbook=16_14.xlsx&amp;sheet=U0&amp;row=163&amp;col=8&amp;number=&amp;sourceID=51","")</f>
        <v/>
      </c>
      <c r="I163" s="4" t="str">
        <f>HYPERLINK("http://141.218.60.56/~jnz1568/getInfo.php?workbook=16_14.xlsx&amp;sheet=U0&amp;row=163&amp;col=9&amp;number=&amp;sourceID=51","")</f>
        <v/>
      </c>
      <c r="J163" s="4" t="str">
        <f>HYPERLINK("http://141.218.60.56/~jnz1568/getInfo.php?workbook=16_14.xlsx&amp;sheet=U0&amp;row=163&amp;col=10&amp;number=4.301&amp;sourceID=52","4.301")</f>
        <v>4.301</v>
      </c>
      <c r="K163" s="4" t="str">
        <f>HYPERLINK("http://141.218.60.56/~jnz1568/getInfo.php?workbook=16_14.xlsx&amp;sheet=U0&amp;row=163&amp;col=11&amp;number=2.056&amp;sourceID=52","2.056")</f>
        <v>2.056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3.7109375" customWidth="1"/>
    <col min="2" max="2" width="3.7109375" customWidth="1"/>
    <col min="3" max="3" width="15.7109375" customWidth="1"/>
  </cols>
  <sheetData>
    <row r="1" spans="1:3">
      <c r="A1" s="1" t="s">
        <v>48</v>
      </c>
      <c r="B1" s="1"/>
      <c r="C1" s="1"/>
    </row>
    <row r="2" spans="1:3">
      <c r="A2" s="2"/>
      <c r="B2" s="2"/>
      <c r="C2" s="2" t="s">
        <v>44</v>
      </c>
    </row>
    <row r="3" spans="1:3">
      <c r="A3" s="2" t="s">
        <v>3</v>
      </c>
      <c r="B3" s="2" t="s">
        <v>4</v>
      </c>
      <c r="C3" s="2" t="s">
        <v>49</v>
      </c>
    </row>
    <row r="4" spans="1:3">
      <c r="A4" s="3">
        <v>16</v>
      </c>
      <c r="B4" s="3">
        <v>14</v>
      </c>
      <c r="C4" s="4" t="str">
        <f>HYPERLINK("http://bit.ly/1ertpx1","http://bit.ly/1ertpx1")</f>
        <v>http://bit.ly/1ertpx1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E0</vt:lpstr>
      <vt:lpstr>A0</vt:lpstr>
      <vt:lpstr>U0</vt:lpstr>
      <vt:lpstr>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2015-04-13T07:18:46Z</dcterms:created>
  <dcterms:modified xsi:type="dcterms:W3CDTF">2015-04-13T07:18:46Z</dcterms:modified>
</cp:coreProperties>
</file>